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F:\Diretoria Administrativa Financeira\Gerência de Infraestrutura e Serviços\Coordenação de Infraestrutura\TR - 2024\Processos - Lei 014133.2021\HEER\Serviços complementares - MPT - Alas B, C e outros\"/>
    </mc:Choice>
  </mc:AlternateContent>
  <bookViews>
    <workbookView xWindow="0" yWindow="0" windowWidth="28800" windowHeight="12435" firstSheet="2" activeTab="7"/>
  </bookViews>
  <sheets>
    <sheet name="COMPLEMENTO" sheetId="1" r:id="rId1"/>
    <sheet name="ADMINISTRAÇÃO" sheetId="22" r:id="rId2"/>
    <sheet name="REFORÇO ESTRUTURAL" sheetId="24" r:id="rId3"/>
    <sheet name="MEMORIA ALA B E C" sheetId="16" r:id="rId4"/>
    <sheet name="MEMORIA CENTRO DE IMAGEM" sheetId="21" r:id="rId5"/>
    <sheet name="MEMORIA CME" sheetId="18" r:id="rId6"/>
    <sheet name="MEMORIA CTI" sheetId="19" r:id="rId7"/>
    <sheet name="MEMORIA LABORATORIO" sheetId="20" r:id="rId8"/>
    <sheet name="MEMORIA PATRIMONIO" sheetId="17" r:id="rId9"/>
  </sheets>
  <externalReferences>
    <externalReference r:id="rId10"/>
  </externalReferences>
  <definedNames>
    <definedName name="_xlnm.Print_Area" localSheetId="0">COMPLEMENTO!$C$1:$P$377</definedName>
    <definedName name="_xlnm.Print_Area" localSheetId="3">'MEMORIA ALA B E C'!$A$1:$M$409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1" l="1"/>
  <c r="O363" i="1"/>
  <c r="O360" i="1" l="1"/>
  <c r="M90" i="16"/>
  <c r="M89" i="16"/>
  <c r="O352" i="1" l="1"/>
  <c r="O324" i="1"/>
  <c r="O274" i="1"/>
  <c r="E227" i="17" l="1"/>
  <c r="E225" i="17"/>
  <c r="E223" i="17"/>
  <c r="E221" i="17"/>
  <c r="E219" i="17"/>
  <c r="E217" i="17"/>
  <c r="E213" i="17"/>
  <c r="E211" i="17"/>
  <c r="E209" i="17"/>
  <c r="E204" i="17"/>
  <c r="E199" i="17"/>
  <c r="E249" i="20"/>
  <c r="L242" i="20" s="1"/>
  <c r="L233" i="20"/>
  <c r="E239" i="20"/>
  <c r="E238" i="20"/>
  <c r="E237" i="20"/>
  <c r="E236" i="20"/>
  <c r="L207" i="19"/>
  <c r="L189" i="19"/>
  <c r="L195" i="19"/>
  <c r="L201" i="19"/>
  <c r="E210" i="19"/>
  <c r="E211" i="19" s="1"/>
  <c r="L213" i="19"/>
  <c r="E223" i="19"/>
  <c r="L219" i="19"/>
  <c r="E217" i="19"/>
  <c r="E205" i="19"/>
  <c r="E199" i="19"/>
  <c r="E193" i="19"/>
  <c r="E187" i="19"/>
  <c r="L183" i="19" s="1"/>
  <c r="G180" i="19"/>
  <c r="G179" i="19"/>
  <c r="G178" i="19"/>
  <c r="G177" i="19"/>
  <c r="G176" i="19"/>
  <c r="E181" i="19" s="1"/>
  <c r="L173" i="19" s="1"/>
  <c r="O175" i="1"/>
  <c r="L154" i="18"/>
  <c r="E162" i="18"/>
  <c r="E160" i="18"/>
  <c r="E159" i="18"/>
  <c r="E158" i="18"/>
  <c r="E157" i="18"/>
  <c r="L244" i="21"/>
  <c r="G252" i="21"/>
  <c r="F252" i="21"/>
  <c r="F251" i="21"/>
  <c r="G251" i="21" s="1"/>
  <c r="F250" i="21"/>
  <c r="G250" i="21" s="1"/>
  <c r="F249" i="21"/>
  <c r="G249" i="21" s="1"/>
  <c r="G248" i="21"/>
  <c r="F248" i="21"/>
  <c r="F247" i="21"/>
  <c r="E247" i="21"/>
  <c r="G247" i="21" s="1"/>
  <c r="E253" i="21" s="1"/>
  <c r="L380" i="16"/>
  <c r="L392" i="16"/>
  <c r="E396" i="16"/>
  <c r="L386" i="16"/>
  <c r="K389" i="16"/>
  <c r="E389" i="16"/>
  <c r="E390" i="16" s="1"/>
  <c r="E384" i="16"/>
  <c r="K377" i="16"/>
  <c r="L374" i="16" s="1"/>
  <c r="E377" i="16"/>
  <c r="E378" i="16"/>
  <c r="L368" i="16"/>
  <c r="K371" i="16"/>
  <c r="E372" i="16"/>
  <c r="E371" i="16"/>
  <c r="E366" i="16"/>
  <c r="K365" i="16" s="1"/>
  <c r="L362" i="16" s="1"/>
  <c r="E360" i="16"/>
  <c r="K359" i="16" s="1"/>
  <c r="L356" i="16" s="1"/>
  <c r="E354" i="16"/>
  <c r="K353" i="16" s="1"/>
  <c r="E348" i="16"/>
  <c r="K347" i="16" s="1"/>
  <c r="L344" i="16" s="1"/>
  <c r="E340" i="16"/>
  <c r="E339" i="16"/>
  <c r="E338" i="16"/>
  <c r="E337" i="16"/>
  <c r="E336" i="16"/>
  <c r="E335" i="16"/>
  <c r="E334" i="16"/>
  <c r="E333" i="16"/>
  <c r="E332" i="16"/>
  <c r="E331" i="16"/>
  <c r="E330" i="16"/>
  <c r="E329" i="16"/>
  <c r="E328" i="16"/>
  <c r="E327" i="16"/>
  <c r="E326" i="16"/>
  <c r="E325" i="16"/>
  <c r="E324" i="16"/>
  <c r="O115" i="1"/>
  <c r="O275" i="1" l="1"/>
  <c r="O107" i="1"/>
  <c r="E230" i="17"/>
  <c r="L196" i="17" s="1"/>
  <c r="E342" i="16"/>
  <c r="K325" i="16" s="1"/>
  <c r="L321" i="16" s="1"/>
  <c r="E191" i="17" l="1"/>
  <c r="E189" i="17"/>
  <c r="E187" i="17"/>
  <c r="E185" i="17"/>
  <c r="E183" i="17"/>
  <c r="E181" i="17"/>
  <c r="E177" i="17"/>
  <c r="E175" i="17"/>
  <c r="E173" i="17"/>
  <c r="E168" i="17"/>
  <c r="E163" i="17"/>
  <c r="L223" i="20"/>
  <c r="E229" i="20"/>
  <c r="E227" i="20"/>
  <c r="E226" i="20"/>
  <c r="E228" i="20"/>
  <c r="G169" i="19"/>
  <c r="G168" i="19"/>
  <c r="G167" i="19"/>
  <c r="G166" i="19"/>
  <c r="G165" i="19"/>
  <c r="E170" i="19" s="1"/>
  <c r="L162" i="19" s="1"/>
  <c r="E194" i="17" l="1"/>
  <c r="L160" i="17" s="1"/>
  <c r="E155" i="19"/>
  <c r="E156" i="19"/>
  <c r="E157" i="19"/>
  <c r="E158" i="19"/>
  <c r="E159" i="19"/>
  <c r="E154" i="19"/>
  <c r="E160" i="19" s="1"/>
  <c r="L150" i="19" s="1"/>
  <c r="L143" i="18"/>
  <c r="E151" i="18"/>
  <c r="E149" i="18"/>
  <c r="E148" i="18"/>
  <c r="E147" i="18"/>
  <c r="E146" i="18"/>
  <c r="L233" i="21"/>
  <c r="G241" i="21"/>
  <c r="F241" i="21"/>
  <c r="F240" i="21"/>
  <c r="G240" i="21" s="1"/>
  <c r="F239" i="21"/>
  <c r="G239" i="21" s="1"/>
  <c r="F238" i="21"/>
  <c r="G238" i="21" s="1"/>
  <c r="F237" i="21"/>
  <c r="G237" i="21" s="1"/>
  <c r="F236" i="21"/>
  <c r="E236" i="21"/>
  <c r="G236" i="21" s="1"/>
  <c r="E242" i="21" l="1"/>
  <c r="E317" i="16" l="1"/>
  <c r="E316" i="16"/>
  <c r="E315" i="16"/>
  <c r="E314" i="16"/>
  <c r="E313" i="16"/>
  <c r="E312" i="16"/>
  <c r="E311" i="16"/>
  <c r="E310" i="16"/>
  <c r="E309" i="16"/>
  <c r="E308" i="16"/>
  <c r="E307" i="16"/>
  <c r="E306" i="16"/>
  <c r="E305" i="16"/>
  <c r="E304" i="16"/>
  <c r="E303" i="16"/>
  <c r="E302" i="16"/>
  <c r="E301" i="16"/>
  <c r="O174" i="1"/>
  <c r="E319" i="16" l="1"/>
  <c r="K300" i="16" s="1"/>
  <c r="L297" i="16" s="1"/>
  <c r="M305" i="1"/>
  <c r="M199" i="1"/>
  <c r="M74" i="1"/>
  <c r="M86" i="1"/>
  <c r="O295" i="1" l="1"/>
  <c r="O201" i="1"/>
  <c r="O76" i="1"/>
  <c r="O124" i="1"/>
  <c r="O189" i="1"/>
  <c r="O64" i="1"/>
  <c r="L39" i="24"/>
  <c r="K39" i="24"/>
  <c r="L44" i="24" s="1"/>
  <c r="J39" i="24"/>
  <c r="I39" i="24"/>
  <c r="H39" i="24"/>
  <c r="H41" i="24" s="1"/>
  <c r="D36" i="24"/>
  <c r="D34" i="24"/>
  <c r="D32" i="24"/>
  <c r="D30" i="24"/>
  <c r="D26" i="24"/>
  <c r="D24" i="24"/>
  <c r="D22" i="24"/>
  <c r="D20" i="24"/>
  <c r="D18" i="24"/>
  <c r="D16" i="24"/>
  <c r="D14" i="24"/>
  <c r="D12" i="24"/>
  <c r="D10" i="24"/>
  <c r="D8" i="24"/>
  <c r="D5" i="24"/>
  <c r="D4" i="24"/>
  <c r="K41" i="24" l="1"/>
  <c r="L41" i="24" s="1"/>
  <c r="E52" i="22" l="1"/>
  <c r="J49" i="22" s="1"/>
  <c r="E47" i="22"/>
  <c r="E42" i="22"/>
  <c r="J39" i="22" s="1"/>
  <c r="J44" i="22"/>
  <c r="C49" i="22"/>
  <c r="B49" i="22"/>
  <c r="C44" i="22"/>
  <c r="B44" i="22"/>
  <c r="C39" i="22"/>
  <c r="B39" i="22"/>
  <c r="E37" i="22"/>
  <c r="J34" i="22" s="1"/>
  <c r="C34" i="22"/>
  <c r="B34" i="22"/>
  <c r="E32" i="22"/>
  <c r="J29" i="22" s="1"/>
  <c r="C29" i="22"/>
  <c r="B29" i="22"/>
  <c r="E27" i="22"/>
  <c r="J24" i="22" s="1"/>
  <c r="C24" i="22"/>
  <c r="B24" i="22"/>
  <c r="E22" i="22"/>
  <c r="C19" i="22"/>
  <c r="B19" i="22"/>
  <c r="E16" i="22"/>
  <c r="C13" i="22"/>
  <c r="B13" i="22"/>
  <c r="C7" i="22"/>
  <c r="B7" i="22"/>
  <c r="E10" i="22"/>
  <c r="E5" i="22"/>
  <c r="C2" i="22"/>
  <c r="B2" i="22"/>
  <c r="D220" i="16"/>
  <c r="D218" i="16"/>
  <c r="O356" i="1" l="1"/>
  <c r="O358" i="1"/>
  <c r="O357" i="1"/>
  <c r="O359" i="1"/>
  <c r="O361" i="1"/>
  <c r="O362" i="1"/>
  <c r="O27" i="1" l="1"/>
  <c r="O26" i="1"/>
  <c r="O25" i="1"/>
  <c r="O24" i="1"/>
  <c r="O30" i="1"/>
  <c r="O23" i="1"/>
  <c r="O22" i="1" l="1"/>
  <c r="O21" i="1"/>
  <c r="O20" i="1"/>
  <c r="O19" i="1"/>
  <c r="O18" i="1"/>
  <c r="O17" i="1"/>
  <c r="O16" i="1"/>
  <c r="O28" i="1"/>
  <c r="O29" i="1"/>
  <c r="O31" i="1"/>
  <c r="O32" i="1"/>
  <c r="O33" i="1"/>
  <c r="O34" i="1"/>
  <c r="O35" i="1"/>
  <c r="O36" i="1"/>
  <c r="G157" i="17" l="1"/>
  <c r="L154" i="17" s="1"/>
  <c r="F136" i="17"/>
  <c r="L134" i="17"/>
  <c r="E125" i="17"/>
  <c r="E131" i="17" s="1"/>
  <c r="L122" i="17" s="1"/>
  <c r="E116" i="17"/>
  <c r="E120" i="17" s="1"/>
  <c r="G109" i="17"/>
  <c r="L107" i="17" s="1"/>
  <c r="G104" i="17"/>
  <c r="L101" i="17"/>
  <c r="G97" i="17"/>
  <c r="L94" i="17" s="1"/>
  <c r="H92" i="17"/>
  <c r="L89" i="17" s="1"/>
  <c r="F86" i="17"/>
  <c r="L84" i="17" s="1"/>
  <c r="L79" i="17"/>
  <c r="L74" i="17"/>
  <c r="I70" i="17"/>
  <c r="I69" i="17"/>
  <c r="K68" i="17"/>
  <c r="L65" i="17" s="1"/>
  <c r="I68" i="17"/>
  <c r="E63" i="17"/>
  <c r="L30" i="17" s="1"/>
  <c r="L26" i="17"/>
  <c r="L22" i="17"/>
  <c r="E20" i="17"/>
  <c r="L4" i="17" s="1"/>
  <c r="F218" i="20"/>
  <c r="L215" i="20"/>
  <c r="F179" i="20"/>
  <c r="L169" i="20"/>
  <c r="L165" i="20"/>
  <c r="L161" i="20"/>
  <c r="L157" i="20"/>
  <c r="E155" i="20"/>
  <c r="L143" i="20"/>
  <c r="D140" i="20"/>
  <c r="E141" i="20" s="1"/>
  <c r="L137" i="20" s="1"/>
  <c r="L133" i="20"/>
  <c r="L129" i="20"/>
  <c r="E127" i="20"/>
  <c r="L125" i="20"/>
  <c r="L121" i="20"/>
  <c r="L117" i="20"/>
  <c r="L113" i="20"/>
  <c r="L109" i="20"/>
  <c r="G106" i="20"/>
  <c r="G105" i="20"/>
  <c r="G104" i="20"/>
  <c r="G103" i="20"/>
  <c r="E107" i="20" s="1"/>
  <c r="L100" i="20" s="1"/>
  <c r="E97" i="20"/>
  <c r="L89" i="20"/>
  <c r="L84" i="20"/>
  <c r="L79" i="20"/>
  <c r="E77" i="20"/>
  <c r="L62" i="20"/>
  <c r="E60" i="20"/>
  <c r="L45" i="20"/>
  <c r="E42" i="20"/>
  <c r="E43" i="20" s="1"/>
  <c r="L38" i="20" s="1"/>
  <c r="E41" i="20"/>
  <c r="E35" i="20"/>
  <c r="F34" i="20"/>
  <c r="F33" i="20"/>
  <c r="F32" i="20"/>
  <c r="F31" i="20"/>
  <c r="F30" i="20"/>
  <c r="F29" i="20"/>
  <c r="F28" i="20"/>
  <c r="F27" i="20"/>
  <c r="F26" i="20"/>
  <c r="F25" i="20"/>
  <c r="F24" i="20"/>
  <c r="F35" i="20" s="1"/>
  <c r="E18" i="20"/>
  <c r="F17" i="20"/>
  <c r="F16" i="20"/>
  <c r="F15" i="20"/>
  <c r="F14" i="20"/>
  <c r="F13" i="20"/>
  <c r="F12" i="20"/>
  <c r="F11" i="20"/>
  <c r="F10" i="20"/>
  <c r="F9" i="20"/>
  <c r="F8" i="20"/>
  <c r="F7" i="20"/>
  <c r="F18" i="20" s="1"/>
  <c r="E19" i="20" s="1"/>
  <c r="L4" i="20" s="1"/>
  <c r="L143" i="19"/>
  <c r="L139" i="19"/>
  <c r="E136" i="19"/>
  <c r="E135" i="19"/>
  <c r="E134" i="19"/>
  <c r="L127" i="19"/>
  <c r="G125" i="19"/>
  <c r="F125" i="19"/>
  <c r="L115" i="19" s="1"/>
  <c r="E125" i="19"/>
  <c r="L111" i="19"/>
  <c r="L107" i="19"/>
  <c r="L103" i="19"/>
  <c r="E101" i="19"/>
  <c r="L97" i="19" s="1"/>
  <c r="L93" i="19"/>
  <c r="E90" i="19"/>
  <c r="E89" i="19"/>
  <c r="E91" i="19" s="1"/>
  <c r="L87" i="19" s="1"/>
  <c r="L83" i="19"/>
  <c r="E81" i="19"/>
  <c r="L79" i="19" s="1"/>
  <c r="E77" i="19"/>
  <c r="L73" i="19" s="1"/>
  <c r="F71" i="19"/>
  <c r="L68" i="19"/>
  <c r="E36" i="19"/>
  <c r="L29" i="19" s="1"/>
  <c r="E27" i="19"/>
  <c r="L9" i="19" s="1"/>
  <c r="L4" i="19"/>
  <c r="F141" i="18"/>
  <c r="L138" i="18" s="1"/>
  <c r="L89" i="18"/>
  <c r="L84" i="18"/>
  <c r="E82" i="18"/>
  <c r="L76" i="18" s="1"/>
  <c r="G69" i="18"/>
  <c r="G65" i="18"/>
  <c r="L60" i="18" s="1"/>
  <c r="E57" i="18"/>
  <c r="E56" i="18"/>
  <c r="I50" i="18"/>
  <c r="L47" i="18" s="1"/>
  <c r="L43" i="18"/>
  <c r="L39" i="18"/>
  <c r="L35" i="18"/>
  <c r="G31" i="18"/>
  <c r="L28" i="18" s="1"/>
  <c r="D26" i="18"/>
  <c r="L23" i="18" s="1"/>
  <c r="E21" i="18"/>
  <c r="L4" i="18" s="1"/>
  <c r="L228" i="21"/>
  <c r="L224" i="21"/>
  <c r="E222" i="21"/>
  <c r="L195" i="21" s="1"/>
  <c r="L190" i="21"/>
  <c r="E188" i="21"/>
  <c r="G188" i="21" s="1"/>
  <c r="L185" i="21" s="1"/>
  <c r="L181" i="21"/>
  <c r="E176" i="21"/>
  <c r="E179" i="21" s="1"/>
  <c r="L171" i="21" s="1"/>
  <c r="F169" i="21"/>
  <c r="F168" i="21"/>
  <c r="H169" i="21" s="1"/>
  <c r="F167" i="21"/>
  <c r="F163" i="21"/>
  <c r="L161" i="21"/>
  <c r="F159" i="21"/>
  <c r="L157" i="21" s="1"/>
  <c r="G155" i="21"/>
  <c r="L153" i="21" s="1"/>
  <c r="E151" i="21"/>
  <c r="L146" i="21" s="1"/>
  <c r="F144" i="21"/>
  <c r="L142" i="21" s="1"/>
  <c r="E140" i="21"/>
  <c r="L135" i="21" s="1"/>
  <c r="L131" i="21"/>
  <c r="G126" i="21"/>
  <c r="L123" i="21" s="1"/>
  <c r="L119" i="21"/>
  <c r="L115" i="21"/>
  <c r="E113" i="21"/>
  <c r="L110" i="21"/>
  <c r="E107" i="21"/>
  <c r="E106" i="21"/>
  <c r="L98" i="21"/>
  <c r="L93" i="21"/>
  <c r="L88" i="21"/>
  <c r="L83" i="21"/>
  <c r="F81" i="21"/>
  <c r="L78" i="21"/>
  <c r="L26" i="21"/>
  <c r="E24" i="21"/>
  <c r="L20" i="21" s="1"/>
  <c r="F18" i="21"/>
  <c r="L16" i="21" s="1"/>
  <c r="E14" i="21"/>
  <c r="L9" i="21" s="1"/>
  <c r="L4" i="21"/>
  <c r="K295" i="16"/>
  <c r="L292" i="16" s="1"/>
  <c r="K290" i="16"/>
  <c r="L287" i="16" s="1"/>
  <c r="F285" i="16"/>
  <c r="H285" i="16" s="1"/>
  <c r="L282" i="16" s="1"/>
  <c r="E280" i="16"/>
  <c r="K269" i="16" s="1"/>
  <c r="L266" i="16" s="1"/>
  <c r="E263" i="16"/>
  <c r="K255" i="16" s="1"/>
  <c r="L252" i="16" s="1"/>
  <c r="L248" i="16"/>
  <c r="L220" i="16"/>
  <c r="L218" i="16"/>
  <c r="I215" i="16"/>
  <c r="L213" i="16" s="1"/>
  <c r="I210" i="16"/>
  <c r="L208" i="16" s="1"/>
  <c r="H203" i="16"/>
  <c r="L201" i="16" s="1"/>
  <c r="G196" i="16"/>
  <c r="L193" i="16" s="1"/>
  <c r="H189" i="16"/>
  <c r="L186" i="16" s="1"/>
  <c r="G182" i="16"/>
  <c r="K182" i="16" s="1"/>
  <c r="L180" i="16" s="1"/>
  <c r="H178" i="16"/>
  <c r="F178" i="16"/>
  <c r="K177" i="16"/>
  <c r="K178" i="16" s="1"/>
  <c r="L171" i="16" s="1"/>
  <c r="I176" i="16"/>
  <c r="I178" i="16" s="1"/>
  <c r="J175" i="16"/>
  <c r="J178" i="16" s="1"/>
  <c r="G174" i="16"/>
  <c r="G178" i="16" s="1"/>
  <c r="H169" i="16"/>
  <c r="F169" i="16"/>
  <c r="K168" i="16"/>
  <c r="K169" i="16" s="1"/>
  <c r="I167" i="16"/>
  <c r="I169" i="16" s="1"/>
  <c r="J166" i="16"/>
  <c r="J169" i="16" s="1"/>
  <c r="L162" i="16" s="1"/>
  <c r="G165" i="16"/>
  <c r="G169" i="16" s="1"/>
  <c r="H160" i="16"/>
  <c r="G160" i="16"/>
  <c r="F160" i="16"/>
  <c r="K159" i="16"/>
  <c r="K160" i="16" s="1"/>
  <c r="I158" i="16"/>
  <c r="I160" i="16" s="1"/>
  <c r="L153" i="16" s="1"/>
  <c r="J157" i="16"/>
  <c r="J160" i="16" s="1"/>
  <c r="G156" i="16"/>
  <c r="H151" i="16"/>
  <c r="L144" i="16" s="1"/>
  <c r="F151" i="16"/>
  <c r="K150" i="16"/>
  <c r="K151" i="16" s="1"/>
  <c r="I149" i="16"/>
  <c r="I151" i="16" s="1"/>
  <c r="J148" i="16"/>
  <c r="J151" i="16" s="1"/>
  <c r="G147" i="16"/>
  <c r="G151" i="16" s="1"/>
  <c r="H142" i="16"/>
  <c r="F142" i="16"/>
  <c r="K141" i="16"/>
  <c r="K142" i="16" s="1"/>
  <c r="I140" i="16"/>
  <c r="I142" i="16" s="1"/>
  <c r="J139" i="16"/>
  <c r="J142" i="16" s="1"/>
  <c r="G138" i="16"/>
  <c r="G142" i="16" s="1"/>
  <c r="L135" i="16" s="1"/>
  <c r="H133" i="16"/>
  <c r="F133" i="16"/>
  <c r="L126" i="16" s="1"/>
  <c r="K132" i="16"/>
  <c r="K133" i="16" s="1"/>
  <c r="I131" i="16"/>
  <c r="I133" i="16" s="1"/>
  <c r="J130" i="16"/>
  <c r="J133" i="16" s="1"/>
  <c r="G129" i="16"/>
  <c r="G133" i="16" s="1"/>
  <c r="D124" i="16"/>
  <c r="E124" i="16" s="1"/>
  <c r="K124" i="16" s="1"/>
  <c r="L121" i="16" s="1"/>
  <c r="E119" i="16"/>
  <c r="K115" i="16" s="1"/>
  <c r="L112" i="16" s="1"/>
  <c r="E109" i="16"/>
  <c r="K110" i="16" s="1"/>
  <c r="L107" i="16" s="1"/>
  <c r="J105" i="16"/>
  <c r="L103" i="16" s="1"/>
  <c r="E100" i="16"/>
  <c r="E99" i="16"/>
  <c r="E98" i="16"/>
  <c r="E97" i="16"/>
  <c r="F91" i="16"/>
  <c r="K92" i="16" s="1"/>
  <c r="L89" i="16" s="1"/>
  <c r="D87" i="16"/>
  <c r="E87" i="16" s="1"/>
  <c r="K87" i="16" s="1"/>
  <c r="L84" i="16" s="1"/>
  <c r="D82" i="16"/>
  <c r="E82" i="16" s="1"/>
  <c r="E78" i="16"/>
  <c r="G73" i="16"/>
  <c r="L71" i="16" s="1"/>
  <c r="G69" i="16"/>
  <c r="L67" i="16" s="1"/>
  <c r="K65" i="16"/>
  <c r="L63" i="16" s="1"/>
  <c r="E61" i="16"/>
  <c r="K59" i="16" s="1"/>
  <c r="L56" i="16" s="1"/>
  <c r="E54" i="16"/>
  <c r="E53" i="16"/>
  <c r="E52" i="16"/>
  <c r="E47" i="16"/>
  <c r="K45" i="16" s="1"/>
  <c r="L42" i="16" s="1"/>
  <c r="E40" i="16"/>
  <c r="K39" i="16" s="1"/>
  <c r="L36" i="16" s="1"/>
  <c r="E34" i="16"/>
  <c r="K33" i="16" s="1"/>
  <c r="L30" i="16" s="1"/>
  <c r="E28" i="16"/>
  <c r="K6" i="16" s="1"/>
  <c r="L3" i="16" s="1"/>
  <c r="J19" i="22"/>
  <c r="J13" i="22"/>
  <c r="J7" i="22"/>
  <c r="J2" i="22"/>
  <c r="O355" i="1"/>
  <c r="O354" i="1"/>
  <c r="O353" i="1"/>
  <c r="O348" i="1"/>
  <c r="O347" i="1"/>
  <c r="O346" i="1"/>
  <c r="O345" i="1"/>
  <c r="O344" i="1"/>
  <c r="O343" i="1"/>
  <c r="O342" i="1"/>
  <c r="O341" i="1"/>
  <c r="O340" i="1"/>
  <c r="O339" i="1"/>
  <c r="O338" i="1"/>
  <c r="O337" i="1"/>
  <c r="O336" i="1"/>
  <c r="O335" i="1"/>
  <c r="O334" i="1"/>
  <c r="O333" i="1"/>
  <c r="O332" i="1"/>
  <c r="O331" i="1"/>
  <c r="O330" i="1"/>
  <c r="O329" i="1"/>
  <c r="O328" i="1"/>
  <c r="O323" i="1"/>
  <c r="O322" i="1"/>
  <c r="O321" i="1"/>
  <c r="O320" i="1"/>
  <c r="O319" i="1"/>
  <c r="O318" i="1"/>
  <c r="O317" i="1"/>
  <c r="O316" i="1"/>
  <c r="O315" i="1"/>
  <c r="O314" i="1"/>
  <c r="O313" i="1"/>
  <c r="O312" i="1"/>
  <c r="O311" i="1"/>
  <c r="O310" i="1"/>
  <c r="O309" i="1"/>
  <c r="O308" i="1"/>
  <c r="O307" i="1"/>
  <c r="O294" i="1"/>
  <c r="O293" i="1"/>
  <c r="O292" i="1"/>
  <c r="O291" i="1"/>
  <c r="O290" i="1"/>
  <c r="O289" i="1"/>
  <c r="O288" i="1"/>
  <c r="O287" i="1"/>
  <c r="O286"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37" i="1"/>
  <c r="O236" i="1"/>
  <c r="O235" i="1"/>
  <c r="O231" i="1"/>
  <c r="O230" i="1"/>
  <c r="O229" i="1"/>
  <c r="O228" i="1"/>
  <c r="O227" i="1"/>
  <c r="O226" i="1"/>
  <c r="O225" i="1"/>
  <c r="O224" i="1"/>
  <c r="O223" i="1"/>
  <c r="O222" i="1"/>
  <c r="O221" i="1"/>
  <c r="O220" i="1"/>
  <c r="O219" i="1"/>
  <c r="O218" i="1"/>
  <c r="O217" i="1"/>
  <c r="O216" i="1"/>
  <c r="O215" i="1"/>
  <c r="O214" i="1"/>
  <c r="O213" i="1"/>
  <c r="O212" i="1"/>
  <c r="O211" i="1"/>
  <c r="O188" i="1"/>
  <c r="O187" i="1"/>
  <c r="O186" i="1"/>
  <c r="O185" i="1"/>
  <c r="O184" i="1"/>
  <c r="O183" i="1"/>
  <c r="O182" i="1"/>
  <c r="O181" i="1"/>
  <c r="O180" i="1"/>
  <c r="O179"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23" i="1"/>
  <c r="O122" i="1"/>
  <c r="O121" i="1"/>
  <c r="O120" i="1"/>
  <c r="O119" i="1"/>
  <c r="O106" i="1"/>
  <c r="O105" i="1"/>
  <c r="O104" i="1"/>
  <c r="O103" i="1"/>
  <c r="O102" i="1"/>
  <c r="O101" i="1"/>
  <c r="O100" i="1"/>
  <c r="O99" i="1"/>
  <c r="O98" i="1"/>
  <c r="O97" i="1"/>
  <c r="O96" i="1"/>
  <c r="O95" i="1"/>
  <c r="O94" i="1"/>
  <c r="O93" i="1"/>
  <c r="O92" i="1"/>
  <c r="O91" i="1"/>
  <c r="O90" i="1"/>
  <c r="O89" i="1"/>
  <c r="O88" i="1"/>
  <c r="O63" i="1"/>
  <c r="O62" i="1"/>
  <c r="O61" i="1"/>
  <c r="O60" i="1"/>
  <c r="O59" i="1"/>
  <c r="O58" i="1"/>
  <c r="O57" i="1"/>
  <c r="O56" i="1"/>
  <c r="O55" i="1"/>
  <c r="O54" i="1"/>
  <c r="O53" i="1"/>
  <c r="O52" i="1"/>
  <c r="O51" i="1"/>
  <c r="O50" i="1"/>
  <c r="O49" i="1"/>
  <c r="O48" i="1"/>
  <c r="O47" i="1"/>
  <c r="O46" i="1"/>
  <c r="O45" i="1"/>
  <c r="O44" i="1"/>
  <c r="O43" i="1"/>
  <c r="O42" i="1"/>
  <c r="O41" i="1"/>
  <c r="O40" i="1"/>
  <c r="N366" i="1" l="1"/>
  <c r="N368" i="1" s="1"/>
  <c r="E36" i="20"/>
  <c r="L21" i="20" s="1"/>
  <c r="E137" i="19"/>
  <c r="L131" i="19" s="1"/>
  <c r="E58" i="18"/>
  <c r="L53" i="18" s="1"/>
  <c r="E108" i="21"/>
  <c r="L103" i="21" s="1"/>
  <c r="H167" i="21"/>
  <c r="L165" i="21" s="1"/>
  <c r="E101" i="16"/>
  <c r="K97" i="16" s="1"/>
  <c r="L94" i="16" s="1"/>
  <c r="K78" i="16"/>
  <c r="L75" i="16" s="1"/>
  <c r="G52" i="16"/>
  <c r="K52" i="16" s="1"/>
  <c r="L49" i="16" l="1"/>
  <c r="N370" i="1"/>
  <c r="P370" i="1" s="1"/>
  <c r="P368" i="1"/>
</calcChain>
</file>

<file path=xl/sharedStrings.xml><?xml version="1.0" encoding="utf-8"?>
<sst xmlns="http://schemas.openxmlformats.org/spreadsheetml/2006/main" count="3234" uniqueCount="808">
  <si>
    <t>DESCRIÇÃO: PLANILHA DE CUSTOS</t>
  </si>
  <si>
    <t>Código</t>
  </si>
  <si>
    <t>Descrição</t>
  </si>
  <si>
    <t>Un</t>
  </si>
  <si>
    <t>Quant.</t>
  </si>
  <si>
    <t>M2</t>
  </si>
  <si>
    <t>M3</t>
  </si>
  <si>
    <t>UN</t>
  </si>
  <si>
    <t>M</t>
  </si>
  <si>
    <t>13.026.0010-0</t>
  </si>
  <si>
    <t>REVESTIMENTO DE PAREDES COM AZULEJO BRANCO 15X15CM,QUALIDADE EXTRA,ASSENTES COM NATA DE CIMENTO COMUM,TENDO JUNTAS CORRI DAS COM 2MM,REJUNTADAS COM PASTA DE CIMENTO BRANCO,INCLUSIVE CHAPISCO DE CIMENTO E AREIA,NO TRACO 1:3 E EMBOCO COM ARGAM ASSA DE</t>
  </si>
  <si>
    <t>13.205.0010-0</t>
  </si>
  <si>
    <t>PROTETOR DE PAREDE(BATE-MACA), COM 20CM DE LARGURA, VINIL DE ALTO IMPACTO,ANTICHAMA E LAVAVEL,ACABAMENTO TEXTURIZADO,REF ORCOS EM NEOPRENE E FIXADO COM SUPORTES DE ALUMINIO RESISTEN TES.FORNECIMENTO E COLOCACAO</t>
  </si>
  <si>
    <t>PISO</t>
  </si>
  <si>
    <t>13.025.0080-0</t>
  </si>
  <si>
    <t>REVESTIMENTO COM NATA DE CIMENTO E ADESIVO APLICADO UNIFORME MENTE SOBRE SUPERFICIE DE AZULEJO,PASTILHA OU CERAMICA,ALISA DO A COLHER E LIXADO</t>
  </si>
  <si>
    <t>13.330.0018-0</t>
  </si>
  <si>
    <t>ASSENTAMENTO DE PISO VINILICO,EXCLUSIVE ESTE,COMPREENDENDO REGULARIZACAO COM ARGAMASSA DE CIMENTO E AREIA,NO TRACO 1:4, LIXAMENTO MECANICO COM ESMERIL E LIMPEZA COM JATO D'AGUA</t>
  </si>
  <si>
    <t>15.003.0379-0</t>
  </si>
  <si>
    <t>ASSENTAMENTO DE TORNEIRA(EXCLUSIVE FORNECIMENTO DO APARELHO) ,INCLUSIVE MATERIAIS NECESSARIOS</t>
  </si>
  <si>
    <t>15.005.0255-0</t>
  </si>
  <si>
    <t>TUBULACAO EM COBRE PARA INTERLIGACAO DE SPLIT SYSTEM AO COND ENSADOR/EVAPORADOR,INCLUSIVE ISOLAMENTO TERMICO,ALIMENTACAO ELETRICA,CONEXOES E FIXACAO,PARA APARELHOS ATE 48000 BTU'S.F ORNECIMENTO E INSTALACAO</t>
  </si>
  <si>
    <t>15.005.0201-0</t>
  </si>
  <si>
    <t>INSTALACAO E ASSENTAMENTO DE AR CONDICIONADO TIPO SPLIT DE 1 2000 BTU'S,COM 1 CONDENSADOR E 1 EVAPORADOR,(VIDE FORNECIMEN TO DO APARELHO NA FAMILIA 18.030)INCLUSIVE ACESSORIOS DE FIX ACAO,EXCLUSIVE ALIMENTACAO ELETRICA E INTERLIGACAO AO CONDEN SADOR/</t>
  </si>
  <si>
    <t>18.030.0002-0</t>
  </si>
  <si>
    <t>CONDICIONADOR DE AR TIPO SPLIT 12000 BTU'S COMPREENDENDO 1 C ONDENSADOR E 1 EVAPORADOR(VIDE INSTALACAO,ASSENTAMENTO E INT ERLIGACOES FAMILIA 15.005).FORNECIMENTO</t>
  </si>
  <si>
    <t>15.010.0042-0</t>
  </si>
  <si>
    <t>CABO TELEFONICO TIPO CI(PARA INSTALACOES INTERNAS PRIMARIAS) PARA 30 PARES.FORNECIMENTO E COLOCACAO</t>
  </si>
  <si>
    <t>15.019.0020-0</t>
  </si>
  <si>
    <t>INTERRUPTOR DE EMBUTIR COM 1 TECLA SIMPLES FOSFORESCENTE E P LACA.FORNECIMENTO E COLOCACAO</t>
  </si>
  <si>
    <t>15.036.0079-0</t>
  </si>
  <si>
    <t>ELETRODUTO DE PVC ESPIRAL CORRUGADO,DIAMETRO DE 3/4",INCLUSI VE CONEXOES E EMENDAS.FORNECIMENTO E INSTALACAO</t>
  </si>
  <si>
    <t>17.018.0265-0</t>
  </si>
  <si>
    <t>PINTURA COM TINTA ACRILICA ACETINADA,PARA USO HOSPITALAR,SOB RE PAREDES E TETOS,INCLUSIVE LIXAMENTO,UMA DEMAO DE SELADOR ACRILICO,DUAS DEMAOS DE MASSA ACRILICA E DUAS DEMAOS DE ACAB AMENTO</t>
  </si>
  <si>
    <t>05.058.0010-0</t>
  </si>
  <si>
    <t>PLASTICO NA COR PRETA,DESTINADO A PROTECAO DE TELHADOS,MOVEI S E PISOS,COM 0,15MM DE ESPESSURA,REUTILIZADO 5 VEZES,INCLUS IVE RETIRADA.FORNECIMENTO E COLOCACAO</t>
  </si>
  <si>
    <t>15.004.0059-0</t>
  </si>
  <si>
    <t>INSTALACAO E ASSENTAMENTO DE DUCHINHA MANUAL PARA BANHEIRO(E XCLUSIVE FORNECIMENTO DO APARELHO),COMPREENDENDO:3,00M DE TU BO DE PVC DE 25MM E CONEXOES</t>
  </si>
  <si>
    <t>18.007.0051-0</t>
  </si>
  <si>
    <t>DUCHINHA MANUAL,COM REGISTRO DE PRESSAO 1/2" CROMADO,RABICHO CROMADO,SUPORTE BRANCO,PISTOLA BRANCA,BUCHAS E PARAFUSOS PA RA FIXACAO.FORNECIMENTO</t>
  </si>
  <si>
    <t>BARRA DE APOIO EM ACO INOXIDAVEL AISI 304,TUBO DE 1.1/4",INC LUSIVE FIXACAO COM PARAFUSOS INOXIDAVEIS E BUCHAS PLASTICAS, COM 70CM,CONFORME ABNT NBR 9050 PARA ACESSIBILIDADE.FORNECIM ENTO E COLOCACAO</t>
  </si>
  <si>
    <t>BARRA DE APOIO EM ACO INOXIDAVEL AISI 304,TUBO DE 1.1/4",EM "L",INCLUSIVE FIXACAO COM PARAFUSOS INOXIDAVEIS E BUCHAS PLA STICAS,MEDINDO (80X80)CM,CONFORME ABNT NBR 9050 PARA ACESSIB ILIDADE.FORNECIMENTO E COLOCACAO</t>
  </si>
  <si>
    <t>H</t>
  </si>
  <si>
    <t>CENTRO DE IMAGEM</t>
  </si>
  <si>
    <t>04.014.0095-0</t>
  </si>
  <si>
    <t>05.001.0173-0</t>
  </si>
  <si>
    <t>11.015.0019-0</t>
  </si>
  <si>
    <t>GROUT (ARGAMASSA FLUIDA DE ELEVADA RESISTENCIA),INCLUSIVE PREPARO,LANCAMENTO E FORNECIMENTO DOS MATERIAIS</t>
  </si>
  <si>
    <t>KG</t>
  </si>
  <si>
    <t>18.050.0135-0</t>
  </si>
  <si>
    <t>MERCADO</t>
  </si>
  <si>
    <t>15.019.0081-0</t>
  </si>
  <si>
    <t>TOMADA TIPO RJ11,DE SOBREPOR,COMPLETA,PARA TELEFONE.FORNECIM ENTO E COLOCACAO</t>
  </si>
  <si>
    <t>18.016.0108-A</t>
  </si>
  <si>
    <t>18.016.0111-A</t>
  </si>
  <si>
    <t>CME</t>
  </si>
  <si>
    <t>13.331.0015-0</t>
  </si>
  <si>
    <t>REVESTIMENTO DE PISO CERAMICO EM PORCELANATO,ACABAMENTO DA B ORDA RETIFICADO,NO FORMATO (60X60)CM,PARA USO EM AREAS COMER CIAIS COM TRAFEGO INTENSO,CONFORME ABNT NBR ISO 13006,ASSENT E EM SUPERFICIE NIVELADA COM ARGAMASSA COLANTE E REJUNTAMENT O PRON</t>
  </si>
  <si>
    <t>15.005.0253-0</t>
  </si>
  <si>
    <t>DUTO PARA CONDICIONAMENTO DE AR,CHAVETADO EM CHAPA DE ACO GA LVANIZADO,NAS DIVERSAS BITOLAS,CONFORME ABNT NBR 16401,ISOLA DO COM MANTA DE LA DE VIDRO,REVESTIDA COM FOLHA DE ALUMINIO, INCLUINDO CINTAS,FITAS,SUPORTES PINTADOS,DIFUSORES E GRELHAS EM ALU</t>
  </si>
  <si>
    <t>Tubo Armaflex AF M-42 5/8"</t>
  </si>
  <si>
    <t>Tubo Armaflex AF M-42 1/2"</t>
  </si>
  <si>
    <t>18.018.0090-0</t>
  </si>
  <si>
    <t>TANQUE PARA EXPURGO EM ACO INOXIDAVEL.FORNECIMENTO</t>
  </si>
  <si>
    <t>18.016.0025-0</t>
  </si>
  <si>
    <t>TANQUE DE ACO INOXIDAVEL,EM CHAPA 22.304,MEDINDO APROXIMADAM ENTE (520X540X300)MM,CAPACIDADE DE 30L,COM ESFREGADOR,EXCLUS IVE TORNEIRA.FORNECIMENTO</t>
  </si>
  <si>
    <t>CTI</t>
  </si>
  <si>
    <t>GASES</t>
  </si>
  <si>
    <t>18.050.0200-0</t>
  </si>
  <si>
    <t>PAINEL MODULAR GASES MEDIC.P/LEITO HOSPITALAR,COMPR.1,0 0M ALT.0,30M,3 MODULOS INDEP. CONTENDO 3 SAIDAS P/GASES,SEND O:1 SAIDA OXIG.,1 SAIDA P/AR COMPRIM. E 1 SAIDA VACUO,CONF. RDC-50 ANVISA/MINIST.DA SAUDE E ABNT NBR 12188,4 TOMADAS ELE TR.110V,1 TO</t>
  </si>
  <si>
    <t>15.014.0005-0</t>
  </si>
  <si>
    <t>INSTALACAO COM TUBULACAO DE COBRE DE 15MM,PARA USO MEDICINAL ,INCLUSIVE ACESSORIOS DE FIXACAO,CONEXOES E LIMPEZA,EXCLUSIV E POSTO DE CONSUMO,PAINEL DE ALARME,VALVULA E CENTRAL DE DIS TRIBUICAO (VIDE FAMILIA 18.050)</t>
  </si>
  <si>
    <t>LABORATÓRIO</t>
  </si>
  <si>
    <t>13.196.0100-0</t>
  </si>
  <si>
    <t>FORRO ARAMADO MONOLITICO DE DRYWALL,COMPOSTO DE UMA CHAPA GE SSO ACARTONADO,TIPO STANDARD,LARGURA DE
600MM,COMPRIMENTO DE 2000MM E ESPESSURA DE 12,5MM,COM TRATAMENTO JUNTAS COM MASS A E FITA PARA UNIFORMIZACAO DA SUPERFICIE DAS CHAPAS DE GESS O ACART</t>
  </si>
  <si>
    <t>18.030.0003-0</t>
  </si>
  <si>
    <t>PATRIMÔNIO</t>
  </si>
  <si>
    <t>TOTAL</t>
  </si>
  <si>
    <t>QUANT.</t>
  </si>
  <si>
    <t>VALOR UNIT.</t>
  </si>
  <si>
    <t>UN.</t>
  </si>
  <si>
    <t>VALOR TOTAL</t>
  </si>
  <si>
    <t>15.008.0130-0</t>
  </si>
  <si>
    <t>CABO DE COBRE FLEXIVEL COM ISOLAMENTO TERMOPLASTICO,COMPREENDENDO:PR EPARO,CORTE E ENFIACAO EM ELETRODUTOS,NA BITOLA DE 120MM2, 450/750V.FORNECIMENTO E COLOCACAO</t>
  </si>
  <si>
    <t>ESPERA</t>
  </si>
  <si>
    <t>CIRCULAÇÃO</t>
  </si>
  <si>
    <t>ENFERMARIA 1</t>
  </si>
  <si>
    <t>ENFERMARIA 2</t>
  </si>
  <si>
    <t>ENFERMARIA 3</t>
  </si>
  <si>
    <t>ENFERMARIA 4</t>
  </si>
  <si>
    <t>ENFERMARIA 5</t>
  </si>
  <si>
    <t>ENFERMARIA 6</t>
  </si>
  <si>
    <t>ENFERMARIA 7</t>
  </si>
  <si>
    <t>ENFERMARIA 8</t>
  </si>
  <si>
    <t>ENFERMARIA 9</t>
  </si>
  <si>
    <t>ENFERMARIA 10</t>
  </si>
  <si>
    <t>ISOLAMENTO</t>
  </si>
  <si>
    <t>ANTE-CAMARA</t>
  </si>
  <si>
    <t>BANHEIRO
INDIVIDUAL
PARA PCD</t>
  </si>
  <si>
    <t>PRESCRIÇÃO MÉDICA</t>
  </si>
  <si>
    <t>GUARDA MAT. LIMPO</t>
  </si>
  <si>
    <t>DML</t>
  </si>
  <si>
    <t>SALA DE UTILIDADES</t>
  </si>
  <si>
    <t>POSTO DE ENFERMAGEM</t>
  </si>
  <si>
    <t>SALA DE SERVIÇOS</t>
  </si>
  <si>
    <t>BANHEIROS</t>
  </si>
  <si>
    <t>LOCAL</t>
  </si>
  <si>
    <t>UNID</t>
  </si>
  <si>
    <t>BANHEIRO</t>
  </si>
  <si>
    <t>DEPÓSITO DE INSUMOS</t>
  </si>
  <si>
    <t>SALÃO DO CTI</t>
  </si>
  <si>
    <t>BOX 01</t>
  </si>
  <si>
    <t>BOX 02</t>
  </si>
  <si>
    <t>BOX DE ISOLAMENTO</t>
  </si>
  <si>
    <t>BOX 04</t>
  </si>
  <si>
    <t>BOX 05</t>
  </si>
  <si>
    <t>BOX 06</t>
  </si>
  <si>
    <t>BOX 07</t>
  </si>
  <si>
    <t>BANHEIRO PCD</t>
  </si>
  <si>
    <t>SALA DO IT MÉDICO</t>
  </si>
  <si>
    <t>COPA</t>
  </si>
  <si>
    <t>ÁREA TÉCNICA LABORATÓRIO</t>
  </si>
  <si>
    <t>DESCANSO DE FUNCIONÁRIOS</t>
  </si>
  <si>
    <t>SALA ADMINISTRATIVA</t>
  </si>
  <si>
    <t>SALA DE LAUDOS</t>
  </si>
  <si>
    <t>RECEPÇÃO ESPERA</t>
  </si>
  <si>
    <t>ÁREA DO CAFÉ</t>
  </si>
  <si>
    <t>WC PCD</t>
  </si>
  <si>
    <t>SALA DE COLETA</t>
  </si>
  <si>
    <t>BOX 1 MACA</t>
  </si>
  <si>
    <t>BOX 2</t>
  </si>
  <si>
    <t>BOX 3</t>
  </si>
  <si>
    <t>BOX 4</t>
  </si>
  <si>
    <t>EU E UC - 1-10</t>
  </si>
  <si>
    <t>UE E UC - 11</t>
  </si>
  <si>
    <t>VEST. BARREIRA(ÁREA LIMPA)</t>
  </si>
  <si>
    <t>WC MESC</t>
  </si>
  <si>
    <t>WC FEM</t>
  </si>
  <si>
    <t>CHUVEIRO</t>
  </si>
  <si>
    <t>SALA ADM</t>
  </si>
  <si>
    <t>ARMAZ E DIST (ÁREA LIMPA)</t>
  </si>
  <si>
    <t>DESINFECÇÃO QUÍMICA</t>
  </si>
  <si>
    <t>VEST. BARREIRA(ÁREA  SUJA)</t>
  </si>
  <si>
    <t>BANHEIRO ÁREA SUJA</t>
  </si>
  <si>
    <t>DML AREA LIMPA</t>
  </si>
  <si>
    <t>DML AREA SUJA</t>
  </si>
  <si>
    <t>PREPARO ESTERILIZAÇÃO (ÁREA LIMPA)</t>
  </si>
  <si>
    <t>DESCARGA AUTOCLAVE (3)</t>
  </si>
  <si>
    <t>LAVAGEM/DESCONTAMINAÇÃO (SUJA)</t>
  </si>
  <si>
    <t>PAREDE</t>
  </si>
  <si>
    <t>DQ 4V-R</t>
  </si>
  <si>
    <t>DR 1V-R</t>
  </si>
  <si>
    <t xml:space="preserve">GR - R </t>
  </si>
  <si>
    <t>VEAM-TV</t>
  </si>
  <si>
    <t>GR-R</t>
  </si>
  <si>
    <t>QUANT</t>
  </si>
  <si>
    <t>ALT</t>
  </si>
  <si>
    <t>15.008.0115-0</t>
  </si>
  <si>
    <t>CABO DE COBRE FLEXIVEL COM ISOLAMENTO TERMOPLASTICO,COMPREENDENDO:PR EPARO,CORTE E ENFIACAO EM ELETRODUTOS,NA BITOLA DE 50MM2, 450/750V.FORNECIMENTO E COLOCACAO</t>
  </si>
  <si>
    <t>05.105.0122-0</t>
  </si>
  <si>
    <t>05.105.0128-0</t>
  </si>
  <si>
    <t>05.105.0144-0</t>
  </si>
  <si>
    <t>CABO DE COBRE FLEXIVEL COM ISOLAMENTO TERMOPLASTICO,COMPREENDENDO:PR EPARO,CORTE E ENFIACAO EM ELETRODUTOS,NA BITOLA DE 16MM2, 450/750V.FORNECIMENTO E COLOCACAO</t>
  </si>
  <si>
    <t>15.008.0105-0</t>
  </si>
  <si>
    <t xml:space="preserve">COORDENAÇÃO </t>
  </si>
  <si>
    <t>SALA DE AVALIAÇÃO</t>
  </si>
  <si>
    <t>CONSULTORIO 3</t>
  </si>
  <si>
    <t>CONSULTORIO 4</t>
  </si>
  <si>
    <t>CONSULTORIO 2</t>
  </si>
  <si>
    <t>CONSULTORIO 1</t>
  </si>
  <si>
    <t>SALA DE MULTI USO</t>
  </si>
  <si>
    <t>MASSOTERAPIA 1</t>
  </si>
  <si>
    <t>MASSOTERAPIA 2</t>
  </si>
  <si>
    <t>SALÃO FISIOTERAPIA</t>
  </si>
  <si>
    <t>SANITARIO FUNCIONAL 1</t>
  </si>
  <si>
    <t>SANITARIO FUNCIONAL 2</t>
  </si>
  <si>
    <t>SANITARIO MULTIUSO</t>
  </si>
  <si>
    <t>BANHEIRO MASSOTERAPIA</t>
  </si>
  <si>
    <t>SALA FISIOTERAPIA OCUPACIONAL 1</t>
  </si>
  <si>
    <t>SALA FISITERAPIA OCUPACIONAL 2</t>
  </si>
  <si>
    <t>CONDICIONADOR DE AR TIPO SPLIT 18000 BTU'S COMPREENDENDO 1 CONDENSADOR E 1 EVAPORADOR(VIDE INSTALACAO,ASSENTAMENTO E INTERLIGACOES FAMILIA 15.005).FORNECIMENTO</t>
  </si>
  <si>
    <t>ESTAR MÉDICO 1</t>
  </si>
  <si>
    <t>ESTAR MÉDICO 2</t>
  </si>
  <si>
    <t>ESTAR MEDICO 3</t>
  </si>
  <si>
    <t>ESTAR MEDICO 4</t>
  </si>
  <si>
    <t>18.050.0100-0</t>
  </si>
  <si>
    <t>PAINEL DE ALARME MEDICINAL AR COMPRIMIDO,OXIDO NITROSO,DIOXIDO DE CARBONO,OXIGENIO E VACUO.FORNECIMENTO E ASSENTAMENTO.(PARA INSTALACAO VIDE FAMILIA 15.014)</t>
  </si>
  <si>
    <t>CENTRAL DE ATENDIMENTO PARA POSTO DE ENFERMAGEM,SALAS CIRURGICAS E CENTROS CIRURGICOS,ATENDENDO ATE 20 LEITOS,COM SINALIZACAO SONORA E LUMINOSA.FORNECIMENTO E COLOCACAO</t>
  </si>
  <si>
    <t>18.050.0140-0</t>
  </si>
  <si>
    <t>15.018.0499-0</t>
  </si>
  <si>
    <t>ELETROCALHA PERFURADA,COM TAMPA,TIPO U,100X50MM,TRATAMENTO SUPERFICIAL PRE-ZINCADO A QUENTE,INCLUSIVE CONEXOES,ACESSORIOS E FIXACAO SUPERIOR.FORNECIMENTO E COLOCACAO</t>
  </si>
  <si>
    <t>15.018.0511-0</t>
  </si>
  <si>
    <t>ELETROCALHA PERFURADA,COM TAMPA,TIPO U,200X100MM,TRATAMENTO SUPERFICIAL PRE-ZINCADO A QUENTE,INCLUSIVE CONEXOES,ACESSORIOS E FIXACAO SUPERIOR.FORNECIMENTO E COLOCACAO</t>
  </si>
  <si>
    <t>RECEPÇÃO/ESPERA</t>
  </si>
  <si>
    <t>HALL2</t>
  </si>
  <si>
    <t>HALL1</t>
  </si>
  <si>
    <t>CONSULTORIO DIAGNOSTICO</t>
  </si>
  <si>
    <t>SANITARIO MASCULINO</t>
  </si>
  <si>
    <t>SANITARIO FEMININO</t>
  </si>
  <si>
    <t>CIRCULAÇÃO INTERNA/IMAGEM</t>
  </si>
  <si>
    <t>ENFERMAGEM E APOIO</t>
  </si>
  <si>
    <t>VESTIARIO</t>
  </si>
  <si>
    <t>ADMINISTRATIVA/LAUDOS</t>
  </si>
  <si>
    <t>SANITARIO FUNCIONARIOS MASC</t>
  </si>
  <si>
    <t>SANITARIO FUNCIONARIOS FEM</t>
  </si>
  <si>
    <t>MAMOGRAFIA</t>
  </si>
  <si>
    <t>SANITARIO PNE</t>
  </si>
  <si>
    <t>ULTRASSONOGRAFIA</t>
  </si>
  <si>
    <t>VESTIARIO ULTRA</t>
  </si>
  <si>
    <t>ECOCARDIOGRAFIA</t>
  </si>
  <si>
    <t>SALA DE COMANDO TC</t>
  </si>
  <si>
    <t>SALA DE EXAMES TOMOGRAFIA</t>
  </si>
  <si>
    <t>SALA DE EXAMES RAIO X</t>
  </si>
  <si>
    <t>VESTIARIO RAIO X</t>
  </si>
  <si>
    <t>SALA DE COMANDO RAIO X</t>
  </si>
  <si>
    <t>ALA B E C</t>
  </si>
  <si>
    <t>PER</t>
  </si>
  <si>
    <t>TOTAL:</t>
  </si>
  <si>
    <t>AREA</t>
  </si>
  <si>
    <t>RODAPE</t>
  </si>
  <si>
    <t>SUBTOTAL:</t>
  </si>
  <si>
    <t>DIAGRAMA UNIFILAR</t>
  </si>
  <si>
    <t>TETO</t>
  </si>
  <si>
    <t>QUANTIDADE</t>
  </si>
  <si>
    <t>UE E UC - 1-10</t>
  </si>
  <si>
    <t>18.034.0060-A</t>
  </si>
  <si>
    <t>EXAUSTORES CENTRIFUGOS,TIPO LIMIT LOAD,SIMPLES ASPIRACAO E A CIONAMENTO INDIRETO,FABRICADO EM CHAPA DE ACO CARBONO,1 CV/2 20V.FORNECIMENTO E COLOCACAO</t>
  </si>
  <si>
    <t>ENFERMARIA 1 AO 10</t>
  </si>
  <si>
    <t>3 REGISTROS ( OXIGENIO, VACUO E AR COMPRIMIDO)</t>
  </si>
  <si>
    <t>AP05200200/</t>
  </si>
  <si>
    <t>REGISTRO DE PRESSAO, EM BRONZE, BRUTO, COM DIAMETRO DE 1/2 . FORNECIMENTO.</t>
  </si>
  <si>
    <t>SINALEIRO DE SOBREPOR PORTA DE ENFERMARIA,SALAS CIRURGICAS E CENTROS CIRURGICOS,COM SISTEMA LUMINOSO NAS CORES VERDE E VERMELHO,FIXADO SOBRE CAIXA 4X2 OU 4X4 EMBUTIDA NA PAREDE.FORNECIMENTO E COLOCACAO</t>
  </si>
  <si>
    <t>ENFERMAGEM 1 AO 10</t>
  </si>
  <si>
    <t>TUBULAÇÃO</t>
  </si>
  <si>
    <t>VACUO</t>
  </si>
  <si>
    <t>OXIGÊNIO</t>
  </si>
  <si>
    <t>AR COMPRIMIDO</t>
  </si>
  <si>
    <t>OXIGENIO</t>
  </si>
  <si>
    <t>AR COMP</t>
  </si>
  <si>
    <t xml:space="preserve"> PONTOS DE TELEFONE</t>
  </si>
  <si>
    <t>PONTOS DE INTERNET</t>
  </si>
  <si>
    <t>AUTOCLAVE</t>
  </si>
  <si>
    <t>QDLT 1  - CIRCUITOS</t>
  </si>
  <si>
    <t>QDF 1 - EQUIPAMENTOS</t>
  </si>
  <si>
    <t>QUADROS</t>
  </si>
  <si>
    <t>B+C</t>
  </si>
  <si>
    <t>15.045.0110-0</t>
  </si>
  <si>
    <t>ABERTURA E FECHAMENTO MANUAL DE RASGO EM ALVENARIA,PARA PASSAGEM DE TUBOS E DUTOS,COM DIAMETRO DE 1/2 A 1</t>
  </si>
  <si>
    <t>comp</t>
  </si>
  <si>
    <t>larg</t>
  </si>
  <si>
    <t xml:space="preserve">LOCAL </t>
  </si>
  <si>
    <t>INSTALACAO COM TUBULACAO DE COBRE DE 22MM,PARA USO MEDICINAL,INCLUSIVE ACESSORIOS DE FIXACAO,CONEXOES E LIMPEZA,EXCLUSIVE POSTO DE CONSUMO,PAINEL DE ALARME,VALVULA E CENTRAL DE DISTRIBUICAO(VIDE FAMILIA 18.050)</t>
  </si>
  <si>
    <t>15.014.0010-0</t>
  </si>
  <si>
    <t>BANCA DE ACO INOXIDAVEL,MEDINDO APROXIMADAMENTE(2,00X0,55)M,EM CHAPA 18.304,COM DUAS CUBAS MEDINDO APROXIMADAMENTE (500X400X200)MM,EM CHAPA 20.304,VALVULA DE ESCOAMENTO TIPO AMERICANA 1623,2 SIFOES 1680 1.1/2 X 1.1/2,SOBRE APOIOS DE ALVENARIA DE MEIA VEZ E VERGA DE CONCRETO,SEM REVESTIMENTO,EXCLUSIVE TORNEIRA.FORNECIMENTO E COLOCACAO</t>
  </si>
  <si>
    <t>18.016.0035-0</t>
  </si>
  <si>
    <t>UC-24/UE-24</t>
  </si>
  <si>
    <t>SALÃO DO CTI - BOX</t>
  </si>
  <si>
    <t>ANTE - CAMARA</t>
  </si>
  <si>
    <t>ENFERMARIA - 1</t>
  </si>
  <si>
    <t>UC-01/UE-01</t>
  </si>
  <si>
    <t>ENFERMARIA - 2</t>
  </si>
  <si>
    <t>UC-02/UE-02</t>
  </si>
  <si>
    <t>ENFERMARIA - 3</t>
  </si>
  <si>
    <t>UC-03/UE-03</t>
  </si>
  <si>
    <t>ENFERMARIA - 4</t>
  </si>
  <si>
    <t>UC-04/UE-04</t>
  </si>
  <si>
    <t>ENFERMARIA - 5</t>
  </si>
  <si>
    <t>UC-05/UE-05</t>
  </si>
  <si>
    <t>ENFERMARIA - 6</t>
  </si>
  <si>
    <t>UC-06/UE-06</t>
  </si>
  <si>
    <t>ENFERMARIA - 7</t>
  </si>
  <si>
    <t>UC-07/UE-07</t>
  </si>
  <si>
    <t>ENFERMARIA - 8</t>
  </si>
  <si>
    <t>UC-08/UE-08</t>
  </si>
  <si>
    <t>ENFERMARIA - 9</t>
  </si>
  <si>
    <t>UC-09/UE-09</t>
  </si>
  <si>
    <t>ENFERMARIA - 10</t>
  </si>
  <si>
    <t>UC-10/UE-10</t>
  </si>
  <si>
    <t>UC-11/UE-11</t>
  </si>
  <si>
    <t>UC-16/UE-16</t>
  </si>
  <si>
    <t>UC-15/UE-15</t>
  </si>
  <si>
    <t>UC-12/UE-12</t>
  </si>
  <si>
    <t>GUARDA MATERIAL LIMPO</t>
  </si>
  <si>
    <t>UC-13/UE-13</t>
  </si>
  <si>
    <t>UC-14/UE-14</t>
  </si>
  <si>
    <t>EQUIP</t>
  </si>
  <si>
    <t>ELETROCALHA ILUMINAÇÃO E TOMADAS</t>
  </si>
  <si>
    <t>ELETROCALHA AR CONDICIONADO</t>
  </si>
  <si>
    <t>ELETROCALHA AR CONDICONADO</t>
  </si>
  <si>
    <t>DIAGRAMA UNIFILAR ILUMINAÇÃO E TOMADA</t>
  </si>
  <si>
    <t>DIAGRAMA UNIFILAR AR CONDICIONADO</t>
  </si>
  <si>
    <t>DISJUNTOR TERMOMAGNETICO,TRIPOLAR,DE 10 A 32A,3KA,MODELO DIN,TIPO C.FORNECIMENTO E COLOCACAO</t>
  </si>
  <si>
    <t>15.007.0605-0</t>
  </si>
  <si>
    <t>DIAGRAMA UNIFILAR AR CONDICINADO</t>
  </si>
  <si>
    <t>WC ISOLAMENTO</t>
  </si>
  <si>
    <t>15.019.0035-0</t>
  </si>
  <si>
    <t>INTERRUPTOR THREE-WAY DE EMBUTIR COM TECLA FOSFORESCENTE,INCLUSIVE PLACA.FORNECIMENTO E COLOCACAO</t>
  </si>
  <si>
    <t>GUARDA MAT LIMPO</t>
  </si>
  <si>
    <t>15.018.0477-0</t>
  </si>
  <si>
    <t>ELETROCALHA PERFURADA,SEM TAMPA,TIPO U,100X100MM,TRATAMENTO SUPERFICIAL PRE-ZINCADO A QUENTE,INCLUSIVE CONEXOES,ACESSORIOS E FIXACAO SUPERIOR.FORNECIMENTO E COLOCACAO</t>
  </si>
  <si>
    <t>ELETROCALHA TELECOM</t>
  </si>
  <si>
    <t>15.015.0199-0</t>
  </si>
  <si>
    <t>INSTALACAO DE CONJUNTO DE 4 PONTOS DE TELEFONE E LOGICA,COMPREENDENDO: 5 VARAS DE ELETRODUTO DE 3/4,CONEXOES E CAIXAS,EXCLUSIVE CABOS OU FIOS</t>
  </si>
  <si>
    <t>IT MEDICO</t>
  </si>
  <si>
    <t>ILUMINAÇÃO E TOMADA</t>
  </si>
  <si>
    <t>INTERNET</t>
  </si>
  <si>
    <t>TELEFONE</t>
  </si>
  <si>
    <t>COORDENAÇÃO</t>
  </si>
  <si>
    <t>15.005.0203-0</t>
  </si>
  <si>
    <t>INSTALACAO E ASSENTAMENTO DE AR CONDICIONADO TIPO SPLIT DE 18000 BTU'S,COM 1 CONDENSADOR E 2 EVAPORADORES,(VIDE FORNECIMENTO DO APARELHO NA FAMILIA 18.030)INCLUSIVE ACESSORIOS DE FIXACAO,EXCLUSIVE ALIMENTACAO ELETRICA E INTERLIGACAO AO CONDENSADOR/EVAPORADOR (VIDE ITEM 15.005.0255)</t>
  </si>
  <si>
    <t>ESTAR MÉDICO 1, 2 , 3 E 4</t>
  </si>
  <si>
    <t>MULTI USO</t>
  </si>
  <si>
    <t>QDLT2</t>
  </si>
  <si>
    <t>QDF1</t>
  </si>
  <si>
    <t>QDF2</t>
  </si>
  <si>
    <t>QG</t>
  </si>
  <si>
    <t>18.016.0045-0</t>
  </si>
  <si>
    <t>BANCA SECA DE ACO INOXIDAVEL,COM LARGURA APROXIMADA DE 0,55M,ATE 3,00M DE COMPRIMENTO,EM CHAPA 18.304,SOBRE APOIOS DE ALVENARIA DE MEIA VEZ E VERGA DE CONCRETO,SEM REVESTIMENTO.FORNECIMENTO E COLOCACAO</t>
  </si>
  <si>
    <t>DADOS</t>
  </si>
  <si>
    <t>15.008.0110-0</t>
  </si>
  <si>
    <t>CABO DE COBRE FLEXIVEL COM ISOLAMENTO TERMOPLASTICO,COMPREENDENDO:PR EPARO,CORTE E ENFIACAO EM ELETRODUTOS,NA BITOLA DE 25MM2, 450/750V.FORNECIMENTO E COLOCACAO</t>
  </si>
  <si>
    <t>15.008.0120-0</t>
  </si>
  <si>
    <t>CABO DE COBRE FLEXIVEL COM ISOLAMENTO TERMOPLASTICO,COMPREENDENDO:PR EPARO,CORTE E ENFIACAO EM ELETRODUTOS,NA BITOLA DE 70MM2, 450/750V.FORNECIMENTO E COLOCACAO</t>
  </si>
  <si>
    <t>15.008.0125-0</t>
  </si>
  <si>
    <t>CABO DE COBRE FLEXIVEL COM ISOLAMENTO TERMOPLASTICO,COMPREENDENDO:PR EPARO,CORTE E ENFIACAO EM ELETRODUTOS,NA BITOLA DE 95MM2, 450/750V.FORNECIMENTO E COLOCACAO</t>
  </si>
  <si>
    <t>15.008.0135-0</t>
  </si>
  <si>
    <t>CABO DE COBRE FLEXIVEL COM ISOLAMENTO TERMOPLASTICO,COMPREENDENDO:PR EPARO,CORTE E ENFIACAO EM ELETRODUTOS,NA BITOLA DE 150MM2, 450/750V.FORNECIMENTO E COLOCACAO</t>
  </si>
  <si>
    <t>15.007.0609-0</t>
  </si>
  <si>
    <t>DISJUNTOR TERMOMAGNETICO,TRIPOLAR,DE 180 A 225A,50KA,MODELO CAIXA MOLDADA,TIPO C.FORNECIMENTO E COLOCACAO</t>
  </si>
  <si>
    <t>15.007.0611-0</t>
  </si>
  <si>
    <t>DISJUNTOR TERMOMAGNETICO,TRIPOLAR,DE 300 A 400A,65KA,MODELO CAIXA MOLDADA,TIPO C.FORNECIMENTO E COLOCACAO</t>
  </si>
  <si>
    <t>QG PARA QDF1</t>
  </si>
  <si>
    <t>QG PARA QDF2</t>
  </si>
  <si>
    <t>QG PARA QDLT 1</t>
  </si>
  <si>
    <t>QG PARA QDLT2</t>
  </si>
  <si>
    <t>4X50mm 1x25mm</t>
  </si>
  <si>
    <t>4X120mm 1x70mm</t>
  </si>
  <si>
    <t>4X95mm 1x50mm</t>
  </si>
  <si>
    <t>4X150mm 1x95mm</t>
  </si>
  <si>
    <t>QUADRO</t>
  </si>
  <si>
    <t>BITOLAS</t>
  </si>
  <si>
    <t>25mm (M)</t>
  </si>
  <si>
    <t>50mm (M)</t>
  </si>
  <si>
    <t>70mm (M)</t>
  </si>
  <si>
    <t>95mm (M)</t>
  </si>
  <si>
    <t>120mm (M)</t>
  </si>
  <si>
    <t>150mm (M)</t>
  </si>
  <si>
    <t>COLETA</t>
  </si>
  <si>
    <t>RECEPÇÃO/COLETA</t>
  </si>
  <si>
    <t>15.018.0478-0</t>
  </si>
  <si>
    <t>ELETROCALHA PERFURADA,SEM TAMPA,TIPO U,150X100MM,TRATAMENTO SUPERFICIAL PRE-ZINCADO A QUENTE,INCLUSIVE CONEXOES,ACESSORIOS E FIXACAO SUPERIOR.FORNECIMENTO E COLOCACAO</t>
  </si>
  <si>
    <t xml:space="preserve">ELETROCALHA </t>
  </si>
  <si>
    <t>DISJUNTOR TERMOMAGNETICO,TRIPOLAR,DE 630A,65KA,MODELO CAIXA MOLDADA,TIPO C.FORNECIMENTO E COLOCACAO</t>
  </si>
  <si>
    <t>15.007.0616-0</t>
  </si>
  <si>
    <t>DISTANCIA (M)</t>
  </si>
  <si>
    <t>UC 36</t>
  </si>
  <si>
    <t>VESTIÁRIO BARREIRA LIMPA</t>
  </si>
  <si>
    <t>UE 35</t>
  </si>
  <si>
    <t>UE 34A</t>
  </si>
  <si>
    <t>UE 34B</t>
  </si>
  <si>
    <t>14.004.0015-0</t>
  </si>
  <si>
    <t>VIDRO PLANO TRANSPARENTE,COMUM,DE 4MM DE ESPESSURA.FORNECIMENTO E COLOCACAO</t>
  </si>
  <si>
    <t>ELETRODUTO</t>
  </si>
  <si>
    <t>EQUIPAMENTO</t>
  </si>
  <si>
    <t>ELETROCALHA</t>
  </si>
  <si>
    <t>18.060.0046-0</t>
  </si>
  <si>
    <t>SISTEMA ININTERRUPTO DE ENERGIA (NO BREAK),COM CAPACIDADE DE 15KVA,TRIFASICO,60HZ,TENSAO DE ENTRADA DE 220/380V,TENSAO DE SAIDA DE 220/127V,AUTONOMIA DE 30 MINUTOS,INCLUSIVE GABINETES E START UP.FORNECIMENTO E COLOCACAO</t>
  </si>
  <si>
    <t>21.040.0130-0</t>
  </si>
  <si>
    <t>FONTE DE EMERGENCIA(NO BREAK),COM POTENCIA DE 2KVA,220V/220V,AUTONOMIA A PLENA CARGA DE 30MIN.FORNECIMENTO</t>
  </si>
  <si>
    <t>NO BREAK</t>
  </si>
  <si>
    <t>FONTES 2KVA</t>
  </si>
  <si>
    <t>2 NO BREAK</t>
  </si>
  <si>
    <t>30KVA</t>
  </si>
  <si>
    <t>2KVA</t>
  </si>
  <si>
    <t>APOIO ENFERMAGEM</t>
  </si>
  <si>
    <t>UE E UC 24</t>
  </si>
  <si>
    <t>UE E UC - 23A e 23B</t>
  </si>
  <si>
    <t>DVR-O</t>
  </si>
  <si>
    <t>VEAM</t>
  </si>
  <si>
    <t>TOMOGRAFIA</t>
  </si>
  <si>
    <t>RAIO X</t>
  </si>
  <si>
    <t>RECEPÇÃO</t>
  </si>
  <si>
    <t>18.030.0010-0</t>
  </si>
  <si>
    <t>CONDICIONADOR DE AR TIPO SPLIT 60000 BTU'S COMPREENDENDO 1 CONDENSADOR E 1 EVAPORADOR(VIDE INSTALACAO,ASSENTAMENTO E INTERLIGACOES FAMILIA 15.005).FORNECIMENTO</t>
  </si>
  <si>
    <t>18.030.0004-0</t>
  </si>
  <si>
    <t>CONDICIONADOR DE AR TIPO SPLIT 18000 BTU'S COMPREENDENDO 1 CONDENSADOR E 2 EVAPORADORES(VIDE INSTALACAO,ASSENTAMENTO E INTERLIGACOES FAMILIA 15.005).FORNECIMENTO</t>
  </si>
  <si>
    <t>RAMPA</t>
  </si>
  <si>
    <t>QDLT</t>
  </si>
  <si>
    <t>UE29</t>
  </si>
  <si>
    <t>UE30</t>
  </si>
  <si>
    <t>UE31</t>
  </si>
  <si>
    <t>QDLT PARA F1</t>
  </si>
  <si>
    <t>15.008.0100-0</t>
  </si>
  <si>
    <t>CABO DE COBRE FLEXIVEL COM ISOLAMENTO TERMOPLASTICO,COMPREENDENDO:PR EPARO,CORTE E ENFIACAO EM ELETRODUTOS NA BITOLA DE 10MM2, 450/750V.FORNECIMENTO E COLOCACAO</t>
  </si>
  <si>
    <t>15.018.0496-0</t>
  </si>
  <si>
    <t>15.018.0479-0</t>
  </si>
  <si>
    <t>ELETROCALHA PERFURADA,SEM TAMPA,TIPO U,300X100MM,TRATAMENTO SUPERFICIAL PRE-ZINCADO A QUENTE,EXCLUSIVE CONEXOES,ACESSORIOS E FIXACAO SUPERIOR.FORNECIMENTO E COLOCACAO</t>
  </si>
  <si>
    <t>ELETROCALHA PERFURADA,SEM TAMPA,TIPO U,200X100MM,TRATAMENTO SUPERFICIAL PRE-ZINCADO A QUENTE,INCLUSIVE CONEXOES,ACESSORIOS E FIXACAO SUPERIOR.FORNECIMENTO E COLOCACAO</t>
  </si>
  <si>
    <t>UC 30</t>
  </si>
  <si>
    <t>UC 29</t>
  </si>
  <si>
    <t>UC 31</t>
  </si>
  <si>
    <t>100X100</t>
  </si>
  <si>
    <t>150X100</t>
  </si>
  <si>
    <t>300X100</t>
  </si>
  <si>
    <t>200X100</t>
  </si>
  <si>
    <t>CIRCUITO</t>
  </si>
  <si>
    <t>P.F - 1.6A</t>
  </si>
  <si>
    <t>PF - ELEV</t>
  </si>
  <si>
    <t>T1.21</t>
  </si>
  <si>
    <t>UE E UC 32</t>
  </si>
  <si>
    <t>PONTOS TELEFONE</t>
  </si>
  <si>
    <t>ABERTURA E FECHAMENTO HIDRAULICA</t>
  </si>
  <si>
    <t>URINALISE</t>
  </si>
  <si>
    <t>100x100</t>
  </si>
  <si>
    <t>150x100</t>
  </si>
  <si>
    <t>QG PARA QDLT1</t>
  </si>
  <si>
    <t>4X35MM+1X16MM</t>
  </si>
  <si>
    <t>4X16MM+1X16MM</t>
  </si>
  <si>
    <t>VIAS</t>
  </si>
  <si>
    <t>BITOLA</t>
  </si>
  <si>
    <t>16MM</t>
  </si>
  <si>
    <t>4X70MM+1X35MM</t>
  </si>
  <si>
    <t>70MM</t>
  </si>
  <si>
    <t>05.105.0127-0</t>
  </si>
  <si>
    <t>SANITARIO PCD</t>
  </si>
  <si>
    <t>AREA TECNICA</t>
  </si>
  <si>
    <t>LÓGICA</t>
  </si>
  <si>
    <t>DESCANSO FUNC</t>
  </si>
  <si>
    <t>15.010.0035-0</t>
  </si>
  <si>
    <t>CABO TELEFONICO TIPO CTP-APL 50(PARA INSTALACOES SUBTERRANEAS ESPECIAIS)PARA 50 PARES.FORNECIMENTO E COLOCACAO</t>
  </si>
  <si>
    <t>Unidade:</t>
  </si>
  <si>
    <t>Hospital Eduardo Rabello</t>
  </si>
  <si>
    <t xml:space="preserve">Endereço: </t>
  </si>
  <si>
    <t xml:space="preserve"> Estr. do Pré, S/N - Sen. Vasconcelos, Rio de Janeiro - RJ, 23013-550</t>
  </si>
  <si>
    <t>18.050.0120-0</t>
  </si>
  <si>
    <t>ESTACAO DE CHAMADA DE LEITO,COM INTERRUPTOR DE EMBUTIR COM COMANDOS DE CHAMADAS,EMERGENCIA E PRESENCA,FIXADA SOBRE CAIXA4X4 EMBUTIDA NA PAREDE.FORNECIMENTO E COLOCACAO</t>
  </si>
  <si>
    <t>18.050.0115-0</t>
  </si>
  <si>
    <t>ESTACAO DE CHAMADA DE BANHEIRO,COM INTERRUPTOR DE EMBUTIR.FORNECIMENTO E COLOCACAO</t>
  </si>
  <si>
    <t>15.007.0643-0</t>
  </si>
  <si>
    <t>DISPOSITIVO DE PROTECAO CONTRA SURTO (DPS),CLASSE II,1 POLO,TENSAO 175V,CORRENTES APROXIMADAS DE DESCARGA NOMINAL E MAXIMA DE 30KA E 90KA.FORNECIMENTO E COLOCACAO</t>
  </si>
  <si>
    <t>15.007.0520-0</t>
  </si>
  <si>
    <t>DISJUNTOR/INTERRUPTOR DIFERENCIAL RESIDUAL(DDR),CLASSE AC,2 POLOS,INSTANTANEO,CORRENTE NOMINAL(IN)25AX240V,SENSIBILID ADE30MA/300MA.FORNECIMENTO E COLOCACAO</t>
  </si>
  <si>
    <t>15.007.0524-0</t>
  </si>
  <si>
    <t>DISJUNTOR/INTERRUPTOR DIFERENCIAL RESIDUAL(DDR),CLASSE AC,4 POLOS,INSTANTANEO,CORRENTE NOMINAL(IN)25AX415V,SENSIBILID ADE30MA/300MA.FORNECIMENTO E COLOCACAO</t>
  </si>
  <si>
    <t>15.007.0521-0</t>
  </si>
  <si>
    <t>DISJUNTOR/INTERRUPTOR DIFERENCIAL RESIDUAL(DDR),CLASSE AC,2 POLOS,INSTANTANEO,CORRENTE NOMINAL(IN) 40AX240V,SENSIBILIDADE 30MA/300MA.FORNECIMENTO E COLOCACAO</t>
  </si>
  <si>
    <t>SINAPI 103277</t>
  </si>
  <si>
    <t>COMPOSIÇÃO 1</t>
  </si>
  <si>
    <t>TERMINAL A COMPRESSAO EM COBRE ESTANHADO PARA CABO 2,5 MM2, 1 FURO E 1 COMPRESSAO, PARA PARAFUSO DE FIXACAO M5</t>
  </si>
  <si>
    <t>GUINDASTE HIDRÁULICO AUTOPROPELIDO, COM LANÇA TELESCÓPICA 40 M, CAPACIDADE MÁXIMA 60 T, POTÊNCIA 260 KW - CHI DIURNO. AF_03/2016</t>
  </si>
  <si>
    <t>CHI</t>
  </si>
  <si>
    <t>GUINDASTE HIDRÁULICO AUTOPROPELIDO, COM LANÇA TELESCÓPICA 40 M, CAPACIDADE MÁXIMA 60 T, POTÊNCIA 260 KW - CHP DIURNO. AF_03/2016</t>
  </si>
  <si>
    <t>CHP</t>
  </si>
  <si>
    <t>AJUDANTE ESPECIALIZADO COM ENCARGOS COMPLEMENTARES</t>
  </si>
  <si>
    <t>MECÂNICO DE REFRIGERAÇÃO COM ENCARGOS COMPLEMENTARES</t>
  </si>
  <si>
    <t>EMOP 7881</t>
  </si>
  <si>
    <t>BOTIJA COM GAS REFRIGERANTE R-22, DE 13,6 KG, EMBALAGEM DESCARTAVEL</t>
  </si>
  <si>
    <t>EMOP 10042</t>
  </si>
  <si>
    <t>TIRANTE DE ACO CARBONO C/PORCAS 16X180MM</t>
  </si>
  <si>
    <t>EMOP 11796</t>
  </si>
  <si>
    <t>CHUMBADOR ACO GALVANIZADO, 5/8X2X1/2</t>
  </si>
  <si>
    <t>EMOP 01579</t>
  </si>
  <si>
    <t>PERFIL I DE ACO CARBONO, PADRAO AMERICANO, PRECO DE REVENDEDOR, DE 12X5.1/4</t>
  </si>
  <si>
    <t>Split System Slim Hospitalar 1,5TR- 220/1/60Hz_x0002_Controle Micro Processado+ Unidade Condensadora - Filtro G4+F9+H13- EC Fan- Compressor 
Inverter- Controle ON/OFF- Reaquecimento 1,00KW_x0002_Vazão: 850m³/h- Pressão: 150Pa</t>
  </si>
  <si>
    <t>COMPOSIÇÃO 2</t>
  </si>
  <si>
    <t>DIFUSOR DIRECIONAL QUADRADO DE 4 VIAS PARA INSUFLAMENTO COM REGISTRO DE LAMINAS OPOSTAS NCM: 9026.10.29 - DQ 400X400</t>
  </si>
  <si>
    <t>VENEZIANA PARA AR EXTERNO ALETAS HORIZONTAIS FIXAS E ESPAÇAMENTO ENTRE AS ALETAS DE 33 MM COM TELA VIVEIRO
NCM: 9026.10.29 - 380X330</t>
  </si>
  <si>
    <t>GVD-R</t>
  </si>
  <si>
    <t>GRELHA DE DUPLA DEFLEXAO ALETAS FRONTAIS VERTICAIS POSTERIORES HORIZONTAIS MOVEIS E REGISTRO
NCM: 9026.10.29 - 500X300</t>
  </si>
  <si>
    <r>
      <rPr>
        <sz val="12"/>
        <rFont val="Calibri"/>
        <family val="2"/>
      </rPr>
      <t>GRELHA DE RETORNO DE AR ALETAS HORIZONTAIS FIXAS COM REGISTRO DE LÂMINAS OPOSTAS
NCM: 9026.10.29</t>
    </r>
    <r>
      <rPr>
        <sz val="12"/>
        <color theme="1"/>
        <rFont val="Calibri"/>
        <family val="2"/>
      </rPr>
      <t xml:space="preserve"> - 500X300</t>
    </r>
  </si>
  <si>
    <r>
      <rPr>
        <sz val="12"/>
        <rFont val="Calibri"/>
        <family val="2"/>
      </rPr>
      <t>GRELHA DE DUPLA DEFLEXAO ALETAS FRONTAIS VERTICAIS POSTERIORES HORIZONTAIS MOVEIS E REGISTRO
NCM: 9026.10.29</t>
    </r>
    <r>
      <rPr>
        <sz val="12"/>
        <color theme="1"/>
        <rFont val="Calibri"/>
        <family val="2"/>
      </rPr>
      <t xml:space="preserve"> - 400X200</t>
    </r>
  </si>
  <si>
    <r>
      <rPr>
        <sz val="12"/>
        <rFont val="Calibri"/>
        <family val="2"/>
      </rPr>
      <t>DIFUSOR DIRECIONAL RETANGULAR DE 1 VIA PARA INSUFLAMENTO COM REGISTRO
NCM: 9026.10.29</t>
    </r>
    <r>
      <rPr>
        <sz val="12"/>
        <color theme="1"/>
        <rFont val="Calibri"/>
        <family val="2"/>
      </rPr>
      <t xml:space="preserve"> - 871X208</t>
    </r>
  </si>
  <si>
    <r>
      <rPr>
        <sz val="12"/>
        <rFont val="Calibri"/>
        <family val="2"/>
      </rPr>
      <t>DIFUSOR DIRECIONAL RETANGULAR DE 1 VIA PARA INSUFLAMENTO COM REGISTRO
NCM: 9026.10.29</t>
    </r>
    <r>
      <rPr>
        <sz val="12"/>
        <color theme="1"/>
        <rFont val="Calibri"/>
        <family val="2"/>
      </rPr>
      <t xml:space="preserve"> - 471X208</t>
    </r>
  </si>
  <si>
    <r>
      <rPr>
        <sz val="12"/>
        <rFont val="Calibri"/>
        <family val="2"/>
      </rPr>
      <t>GRELHA DE RETORNO DE AR ALETAS HORIZONTAIS FIXAS COM REGISTRO DE LÂMINAS OPOSTAS
NCM: 9026.10.29</t>
    </r>
    <r>
      <rPr>
        <sz val="12"/>
        <color theme="1"/>
        <rFont val="Calibri"/>
        <family val="2"/>
      </rPr>
      <t xml:space="preserve"> - 200X600</t>
    </r>
  </si>
  <si>
    <r>
      <rPr>
        <sz val="12"/>
        <rFont val="Calibri"/>
        <family val="2"/>
      </rPr>
      <t>GRELHA DE RETORNO DE AR ALETAS HORIZONTAIS FIXAS COM REGISTRO DE LÂMINAS OPOSTAS
NCM: 9026.10.29</t>
    </r>
    <r>
      <rPr>
        <sz val="12"/>
        <color theme="1"/>
        <rFont val="Calibri"/>
        <family val="2"/>
      </rPr>
      <t xml:space="preserve"> - 150X300</t>
    </r>
  </si>
  <si>
    <r>
      <rPr>
        <sz val="12"/>
        <rFont val="Calibri"/>
        <family val="2"/>
      </rPr>
      <t>GRELHA DE RETORNO DE AR ALETAS HORIZONTAIS FIXAS COM REGISTRO DE LÂMINAS OPOSTAS
NCM: 9026.10.29</t>
    </r>
    <r>
      <rPr>
        <sz val="12"/>
        <color theme="1"/>
        <rFont val="Calibri"/>
        <family val="2"/>
      </rPr>
      <t xml:space="preserve"> - 300X150</t>
    </r>
  </si>
  <si>
    <r>
      <rPr>
        <sz val="12"/>
        <rFont val="Calibri"/>
        <family val="2"/>
      </rPr>
      <t>GRELHA DE DUPLA DEFLEXAO ALETAS FRONTAIS VERTICAIS POSTERIORES HORIZONTAIS MOVEIS E REGISTRO
NCM: 9026.10.29</t>
    </r>
    <r>
      <rPr>
        <sz val="12"/>
        <color theme="1"/>
        <rFont val="Calibri"/>
        <family val="2"/>
      </rPr>
      <t xml:space="preserve"> - 200X100</t>
    </r>
  </si>
  <si>
    <r>
      <rPr>
        <sz val="12"/>
        <rFont val="Calibri"/>
        <family val="2"/>
      </rPr>
      <t>GRELHA DE DUPLA DEFLEXAO ALETAS FRONTAIS VERTICAIS POSTERIORES HORIZONTAIS MOVEIS E REGISTRO
NCM: 9026.10.29</t>
    </r>
    <r>
      <rPr>
        <sz val="12"/>
        <color theme="1"/>
        <rFont val="Calibri"/>
        <family val="2"/>
      </rPr>
      <t xml:space="preserve"> -400X200</t>
    </r>
  </si>
  <si>
    <r>
      <rPr>
        <sz val="12"/>
        <rFont val="Calibri"/>
        <family val="2"/>
      </rPr>
      <t>GRELHA DE RETORNO DE AR ALETAS HORIZONTAIS FIXAS COM REGISTRO DE LÂMINAS OPOSTAS
NCM: 9026.10.29</t>
    </r>
    <r>
      <rPr>
        <sz val="12"/>
        <color theme="1"/>
        <rFont val="Calibri"/>
        <family val="2"/>
      </rPr>
      <t xml:space="preserve"> - 400X200</t>
    </r>
  </si>
  <si>
    <t>19.004.0030-2</t>
  </si>
  <si>
    <t>CARRETA PARA TRANSPORTE PESADO,CAPACIDADE PARA CARGA UTIL DE 60/80T,INCLUSIVE MOTORISTA</t>
  </si>
  <si>
    <t>Unidade de Tratamento de Ar 7,5TR- 220/3/60hHz_x0002_Controle Micro Processado+ Unidade 
Condensadora- Modelo: UCH 10A2FIBEACPP_x0002_Compressor Inverter- Controle ON/OFF- EC Fan- G4+F9-
Vazão: 5.000m³/h- Pressão: 250Pa</t>
  </si>
  <si>
    <t>COMPOSIÇÃO 3</t>
  </si>
  <si>
    <t>18.024.0050-5</t>
  </si>
  <si>
    <t>CASA DE MAQUINA PARA UNIDADE DE TRATAMENTO DE AR,EM ALVENARIA,MEDINDO(1,50X1,50)M, COBERTA COM LAJE DE CONCRETO,PE-DIREITO DE 2,00M, PORTA CORTA-FOGO(0,60X1,80)M,PINTURA ,IMPERMEABILIZACAO,LUMINARIA A PROVA DE GASES E BASCULANTE COM VIDRO(0,60X0,60)M,EXTINTOR DEINCENDIO,EXCLUSIVE SISTEMA DE PRESSURIZACAO(VIDE ITENS 18.033.0018, 18.033.0019 E 18.033.0020)</t>
  </si>
  <si>
    <t xml:space="preserve">VEAM-TV-FM5-R  </t>
  </si>
  <si>
    <t>VENEZIANA PARA AR EXTERNO COM ALETAS FIXAS COM ESPAÇAMENTO DE 33 MM COM TELA VIVEIRO COM FILTRO M5 E REGISTRO DE LÂMINAS OPOSTAS
NCM: 9026.10.29 - 500X300</t>
  </si>
  <si>
    <t xml:space="preserve">DVR-O </t>
  </si>
  <si>
    <t>DAMPER REGULADOR DE VAZAO DE AR COM LAMINAS
OPOSTAS NCM: 9026.10.29 - 650X300X140</t>
  </si>
  <si>
    <t xml:space="preserve">GR-R                        </t>
  </si>
  <si>
    <t>GRELHA DE RETORNO DE AR ALETAS HORIZONTAIS FIXAS COM REGISTRO DE LÂMINAS OPOSTAS - NCM: 9026.10.29 - 500X300</t>
  </si>
  <si>
    <t xml:space="preserve">GR-R  </t>
  </si>
  <si>
    <t xml:space="preserve">GRELHA DE RETORNO DE AR ALETAS HORIZONTAIS FIXAS COM REGISTRO DE LÂMINAS OPOSTAS NCM: 9026.10.29 - 800X500
</t>
  </si>
  <si>
    <t>DQ 4V - R</t>
  </si>
  <si>
    <t xml:space="preserve"> DIFUSOR DIRECIONAL QUADRADO DE 4 VIAS PARA
INSUFLAMENTO COM REGISTRO DE LAMINAS OPOSTAS NCM: 9026.10.29 - DQ 450X450</t>
  </si>
  <si>
    <t xml:space="preserve">DR 1V-R                     </t>
  </si>
  <si>
    <t>DIFUSOR DIRECIONAL RETANGULAR DE 1 VIA PARA
INSUFLAMENTO COM REGISTRO NCM: 9026.10.29 - 470X260</t>
  </si>
  <si>
    <t>DVR - O</t>
  </si>
  <si>
    <t>DAMPER REGULADOR DE VAZAO DE AR COM LAMINAS
OPOSTAS NCM: 9026.10.29 - 350X100X140</t>
  </si>
  <si>
    <t>DAMPER REGULADOR DE VAZAO DE AR COM LAMINAS
OPOSTAS NCM: 9026.10.29 - 250X350X140</t>
  </si>
  <si>
    <t>VEAM - TV</t>
  </si>
  <si>
    <t xml:space="preserve">VENEZIANA PARA AR EXTERNO ALETAS HORIZONTAIS FIXAS E ESPAÇAMENTO ENTRE AS ALETAS DE 33 MM COM TELA VIVEIRO NCM: 9026.10.29 - 380X330
</t>
  </si>
  <si>
    <t xml:space="preserve">GRELHA DE RETORNO DE AR ALETAS HORIZONTAIS FIXAS COM REGISTRO DE LÂMINAS OPOSTAS NCM: 9026.10.29 - 300X200
</t>
  </si>
  <si>
    <t xml:space="preserve">GRELHA DE RETORNO DE AR ALETAS HORIZONTAIS FIXAS COM REGISTRO DE LÂMINAS OPOSTAS NCM: 9026.10.29 - 600X300
</t>
  </si>
  <si>
    <t xml:space="preserve">GVD - R </t>
  </si>
  <si>
    <t xml:space="preserve">GRELHA DE DUPLA DEFLEXAO ALETAS FRONTAIS VERTICAIS POSTERIORES HORIZONTAIS MOVEIS E REGISTRO
NCM: 9026.10.29 - 600X300
</t>
  </si>
  <si>
    <t xml:space="preserve">VENEZIANA PARA AR EXTERNO ALETAS HORIZONTAIS FIXAS E ESPAÇAMENTO ENTRE AS ALETAS DE 33 MM COM TELA VIVEIRO NCM: 9026.10.29 - 580X330
</t>
  </si>
  <si>
    <r>
      <rPr>
        <sz val="11"/>
        <rFont val="Microsoft Sans Serif"/>
        <family val="2"/>
      </rPr>
      <t>GVD-R</t>
    </r>
  </si>
  <si>
    <r>
      <rPr>
        <sz val="11"/>
        <rFont val="Microsoft Sans Serif"/>
        <family val="2"/>
      </rPr>
      <t>GRELHA DE DUPLA DEFLEXAO ALETAS FRONTAIS VERTICAIS POSTERIORES HORIZONTAIS MOVEIS E REGISTRO - 500X200</t>
    </r>
  </si>
  <si>
    <t>GRELHA DE DUPLA DEFLEXAO ALETAS FRONTAIS VERTICAIS POSTERIORES HORIZONTAIS MOVEIS E REGISTRO
NCM: 9026.10.29 - 200X100</t>
  </si>
  <si>
    <r>
      <rPr>
        <sz val="11"/>
        <rFont val="Microsoft Sans Serif"/>
        <family val="2"/>
      </rPr>
      <t>GR-R</t>
    </r>
  </si>
  <si>
    <r>
      <rPr>
        <sz val="11"/>
        <rFont val="Microsoft Sans Serif"/>
        <family val="2"/>
      </rPr>
      <t>GRELHA DE RETORNO DE AR ALETAS HORIZONTAIS FIXAS COM REGISTRO DE LÂMINAS OPOSTAS
NCM: 9026.10.29</t>
    </r>
    <r>
      <rPr>
        <sz val="11"/>
        <color theme="1"/>
        <rFont val="Calibri"/>
        <family val="2"/>
        <scheme val="minor"/>
      </rPr>
      <t xml:space="preserve"> - 600X300</t>
    </r>
  </si>
  <si>
    <r>
      <rPr>
        <sz val="11"/>
        <rFont val="Microsoft Sans Serif"/>
        <family val="2"/>
      </rPr>
      <t>GRELHA DE DUPLA DEFLEXAO ALETAS FRONTAIS VERTICAIS POSTERIORES HORIZONTAIS MOVEIS E REGISTRO
NCM: 9026.10.29</t>
    </r>
    <r>
      <rPr>
        <sz val="11"/>
        <color theme="1"/>
        <rFont val="Calibri"/>
        <family val="2"/>
        <scheme val="minor"/>
      </rPr>
      <t xml:space="preserve"> 600X300</t>
    </r>
  </si>
  <si>
    <r>
      <rPr>
        <sz val="11"/>
        <rFont val="Microsoft Sans Serif"/>
        <family val="2"/>
      </rPr>
      <t>GRELHA DE RETORNO DE AR ALETAS HORIZONTAIS FIXAS COM REGISTRO DE LÂMINAS OPOSTAS
NCM: 9026.10.29</t>
    </r>
    <r>
      <rPr>
        <sz val="11"/>
        <color theme="1"/>
        <rFont val="Calibri"/>
        <family val="2"/>
        <scheme val="minor"/>
      </rPr>
      <t xml:space="preserve"> - 200X100</t>
    </r>
  </si>
  <si>
    <r>
      <rPr>
        <sz val="11"/>
        <rFont val="Microsoft Sans Serif"/>
        <family val="2"/>
      </rPr>
      <t>GRELHA DE DUPLA DEFLEXAO ALETAS FRONTAIS VERTICAIS POSTERIORES HORIZONTAIS MOVEIS E REGISTRO
NCM: 9026.10.29</t>
    </r>
    <r>
      <rPr>
        <sz val="11"/>
        <color theme="1"/>
        <rFont val="Calibri"/>
        <family val="2"/>
        <scheme val="minor"/>
      </rPr>
      <t xml:space="preserve"> - 200X100</t>
    </r>
  </si>
  <si>
    <r>
      <rPr>
        <sz val="11"/>
        <rFont val="Microsoft Sans Serif"/>
        <family val="2"/>
      </rPr>
      <t>VEAM-TV</t>
    </r>
  </si>
  <si>
    <r>
      <rPr>
        <sz val="11"/>
        <rFont val="Microsoft Sans Serif"/>
        <family val="2"/>
      </rPr>
      <t>VENEZIANA PARA AR EXTERNO ALETAS HORIZONTAIS FIXAS E ESPAÇAMENTO ENTRE AS ALETAS DE 33 MM COM TELA VIVEIRO
NCM: 9026.10.29</t>
    </r>
    <r>
      <rPr>
        <sz val="11"/>
        <color theme="1"/>
        <rFont val="Calibri"/>
        <family val="2"/>
        <scheme val="minor"/>
      </rPr>
      <t xml:space="preserve"> - 380X330</t>
    </r>
  </si>
  <si>
    <t>GRELHA DE RETORNO DE AR ALETAS HORIZONTAIS FIXAS COM REGISTRO DE LÂMINAS OPOSTAS
NCM: 9026.10.29 - 200X150</t>
  </si>
  <si>
    <r>
      <rPr>
        <sz val="11"/>
        <rFont val="Microsoft Sans Serif"/>
        <family val="2"/>
      </rPr>
      <t>GRELHA DE RETORNO DE AR ALETAS HORIZONTAIS FIXAS COM REGISTRO DE LÂMINAS OPOSTAS
NCM: 9026.10.29</t>
    </r>
    <r>
      <rPr>
        <sz val="11"/>
        <color theme="1"/>
        <rFont val="Calibri"/>
        <family val="2"/>
        <scheme val="minor"/>
      </rPr>
      <t xml:space="preserve"> - 300X150</t>
    </r>
  </si>
  <si>
    <t>03.001.0001-1</t>
  </si>
  <si>
    <t>ESCAVACAO MANUAL DE VALA/CAVA EM MATERIAL DE 1ª CATEGORIA (A(AREIA,ARGILA OU PICARRA),ATE 1,50M DE PROFUNDIDADE,EXCLUSIVE ESCORAMENTO E ESGOTAMENTO</t>
  </si>
  <si>
    <t>03.011.0015-1</t>
  </si>
  <si>
    <t>REATERRO DE VALA/CAVA COM MATERIAL DE BOA QUALIDADE,UTILIZANDO VIBRO COMPACTADOR PORTATIL,EXCLUSIVE MATERIAL</t>
  </si>
  <si>
    <t>11.013.0110-0</t>
  </si>
  <si>
    <t>CONCRETO ARMADO,FCK=30MPA,INCLUINDO MATERIAIS PARA 1,00M3 DE CONCRETO(IMPORTADO DE USINA)ADENSADO E COLOCADO,12,00M2 DEAREA MOLDADA,FORMAS E ESCORAMENTO CONFORME ITENS 11.004.0022E 11.004.0035,80KG DE ACO CA-50,INCLUSIVE MAO-DE-OBRA PARACORTE,DOBRAGEM,MONTAGEM E COLOCACAO NAS FORMAS</t>
  </si>
  <si>
    <t>13.333.0010-0</t>
  </si>
  <si>
    <t>REVESTIMENTO DE PISO COM CERAMICA TATIL DIRECIONAL,(LADRILHO HIDRAULICO),PARA PESSOAS COM NECESSIDADES ESPECIFICAS,ASSENTES SOBRE SUPERFICIE EM OSSO,CONFORME ITEM 13.330.0010</t>
  </si>
  <si>
    <t>14.004.0121-0</t>
  </si>
  <si>
    <t>VIDRO TEMPERADO,INCOLOR,COM 6MM DE ESPESSURA,ENCAIXILHADO EM MADEIRA,ALUMINIO OU FERRO.FORNECIMENTO E COLOCACAO</t>
  </si>
  <si>
    <t>12.005.0025-0</t>
  </si>
  <si>
    <t>ALVENARIA DE BLOCOS DE CONCRETO 10X20X40CM,ASSENTES COM ARGAMASSA DE CIMENTO E AREIA,NO TRACO 1:8,EM PAREDES DE 0,10M DEESPESSURA,COM VAOS OU ARESTAS,DE 3,00 A 4,50M DE ALTURA E MEDIDA PELA AREA REAL</t>
  </si>
  <si>
    <t>UE E UC 34A, 34B,35</t>
  </si>
  <si>
    <t>Split System Slim Hospitalar 3TR- 220/1/60Hz- Controle Micro Processado+ Unidade Condensadora-Filtro G4+F9- EC Fan- Compressor Inverter- Controle ON/OFF- Reaquecimento 03 RES. DE 1,00KW- Vazão: 2.040m³/h- Pressão: 150Pa</t>
  </si>
  <si>
    <t>COMPOSIÇÃO 4</t>
  </si>
  <si>
    <t>UE E UC 33</t>
  </si>
  <si>
    <t>Unidade de Tratamento de Ar 10TR- 220/3/60hHz_x0002_Controle Micro Processado + Unidade Condensadora-_x0002_Compressor Inverter- Controle ON/OFF- EC Fan- G4+F9-EC Fan- Vazão: 4.500m³/h- Pressão: 250Pa</t>
  </si>
  <si>
    <t>COMPOSIÇÃO 5</t>
  </si>
  <si>
    <t xml:space="preserve">GR-R        </t>
  </si>
  <si>
    <t>GRELHA DE RETORNO DE AR ALETAS HORIZONTAIS FIXAS
COM REGISTRO DE LÂMINAS OPOSTAS NCM: 9026.10.29 - 300X160</t>
  </si>
  <si>
    <t>GR - R</t>
  </si>
  <si>
    <t>GRELHA DE RETORNO DE AR ALETAS HORIZONTAIS FIXAS
COM REGISTRO DE LÂMINAS OPOSTAS NCM: 9026.10.29 - 800X300</t>
  </si>
  <si>
    <t>GRELHA DE RETORNO DE AR ALETAS HORIZONTAIS FIXAS
COM REGISTRO DE LÂMINAS OPOSTAS NCM: 9026.10.29 - 300X200</t>
  </si>
  <si>
    <t>VEAM-TV-FM5-DV R</t>
  </si>
  <si>
    <t>VENEZIANA PARA AR EXTERNO COM ALETAS FIXAS COM ESPAÇAMENTO DE 33 MM COM TELA VIVEIRO COM FILTRO M5 E DAMPER REGULADOR DE VAZAO DE AR
NCM: 9026.10.29 - 900X900</t>
  </si>
  <si>
    <t xml:space="preserve"> DAMPER REGULADOR DE VAZAO DE AR COM LAMINAS
OPOSTAS
NCM: 9026.10.29 - 550X300X140</t>
  </si>
  <si>
    <t xml:space="preserve">DIFUSOR DIRECIONAL QUADRADO DE 4 VIAS PARA
INSUFLAMENTO COM REGISTRO DE LAMINAS OPOSTAS NCM: 9026.10.29 - 500X500
</t>
  </si>
  <si>
    <t xml:space="preserve">DVR - O </t>
  </si>
  <si>
    <t>DAMPER REGULADOR DE VAZAO DE AR COM LAMINAS OPOSTAS
NCM: 9026.10.29 - 250X300X140</t>
  </si>
  <si>
    <t>DIFUSOR DIRECIONAL QUADRADO DE 4 VIAS PARA
INSUFLAMENTO COM REGISTRO DE LAMINAS OPOSTAS NCM: 9026.10.29 - DQ400X400</t>
  </si>
  <si>
    <t>DAMPER REGULADOR DE VAZAO DE AR COM LAMINAS
OPOSTAS
NCM: 9026.10.29 - 400X200X140</t>
  </si>
  <si>
    <t>DAMPER REGULADOR DE VAZAO DE AR COM LAMINAS
OPOSTAS
NCM: 9026.10.29 - 200X200X140</t>
  </si>
  <si>
    <t>GVD - R</t>
  </si>
  <si>
    <t>GRELHA DE DUPLA DEFLEXAO ALETAS FRONTAIS VERTICAIS POSTERIORES HORIZONTAIS MOVEIS E REGISTRO
NCM: 9026.10.29 - 400X200</t>
  </si>
  <si>
    <t>DAMPER REGULADOR DE VAZAO DE AR COM LAMINAS
OPOSTAS
NCM: 9026.10.29 - 300X200X140</t>
  </si>
  <si>
    <t>GRELHA DE DUPLA DEFLEXAO ALETAS FRONTAIS VERTICAIS          400X200          
NCM: 9026.10.29 - 400X200</t>
  </si>
  <si>
    <t xml:space="preserve"> DAMPER REGULADOR DE VAZAO DE AR COM LAMINAS  200X200X140    NCM: 9026.10.29</t>
  </si>
  <si>
    <t xml:space="preserve">GRELHA DE RETORNO DE AR ALETAS HORIZONTAIS FIXAS              300X160          
NCM: 9026.10.29
</t>
  </si>
  <si>
    <t xml:space="preserve"> GRELHA DE RETORNO DE AR ALETAS HORIZONTAIS FIXAS              500X200          
</t>
  </si>
  <si>
    <t>DAG</t>
  </si>
  <si>
    <t xml:space="preserve">DAMPER DE SOBRE PRESSAO COM CARCACA E ALETAS EM        250X200X140     
EQUALIZADO ATÉ 8 M/S NCM: 9026.10.29
</t>
  </si>
  <si>
    <t xml:space="preserve">GRELHA DE RETORNO DE AR ALETAS HORIZONTAIS FIXAS              300X150          
NCM: 9026.10.29
</t>
  </si>
  <si>
    <t>EMOP / SINAPI / MERCADO/ COMPOSIÇÃO 6</t>
  </si>
  <si>
    <t>Unidade de Tratamento de Ar 10TR- 220/3/60Hz_x0002_Controle Micro Processado+ Unidade Condensadora+ Filtro G4+F9- EC Fan_x0002_Compressor Inverter- Controle ON/OFF- Vazão: 
6.200m³/h- Pressão: 200Pa- Reaquecimento 03 RES. DE 
2,50KW_x0002_</t>
  </si>
  <si>
    <t>COMPOSIÇÃO 6</t>
  </si>
  <si>
    <t xml:space="preserve">VEAM - TV - FM5 - R </t>
  </si>
  <si>
    <t xml:space="preserve">VENEZIANA PARA AR EXTERNO COM ALETAS FIXAS COM                500X500         ESPAÇAMENTO DE 33 MM COM TELA VIVEIRO COM FILTRO
M5 E REGISTRO DE LÂMINAS OPOSTAS NCM: 9026.10.29
</t>
  </si>
  <si>
    <t xml:space="preserve">DAMPER REGULADOR DE VAZAO DE AR COM LAMINAS                800X300X140     
NCM: 9026.10.29
</t>
  </si>
  <si>
    <t xml:space="preserve"> DAMPER REGULADOR DE VAZAO DE AR COM LAMINAS                450X300X140     
NCM: 9026.10.29
</t>
  </si>
  <si>
    <t xml:space="preserve">DIFUSOR DIRECIONAL QUADRADO DE 4 VIAS PARA INSUFLAMENTO COM REGISTRO DE LAMINAS OPOSTAS
NCM: 9026.10.29 -  DQ 450X450 
</t>
  </si>
  <si>
    <t xml:space="preserve">DIFUSOR DIRECIONAL RETANGULAR DE 1 VIA PARA INSUFLAMENTO COM REGISTRO
NCM: 9026.10.29 - 460x270
</t>
  </si>
  <si>
    <t xml:space="preserve">DAMPER REGULADOR DE VAZAO DE AR COM LAMINAS  OPOSTAS     
NCM: 9026.10.29 - 450X150X140 
</t>
  </si>
  <si>
    <t xml:space="preserve">DAMPER REGULADOR DE VAZAO DE AR COM LAMINAS OPOSTAS
NCM: 9026.10.29 - 200X250X140
</t>
  </si>
  <si>
    <t xml:space="preserve">DIFUSOR DIRECIONAL QUADRADO DE 4 VIAS PARA INSUFLAMENTO COM REGISTRO DE LAMINAS OPOSTAS
NCM: 9026.10.29 - DQ400X400
</t>
  </si>
  <si>
    <t xml:space="preserve">VENEZIANA PARA AR EXTERNO COM ALETAS FIXAS E ESPAÇAMENTO DE 33 MM
NCM: 9026.10.29 - 800X500
</t>
  </si>
  <si>
    <t xml:space="preserve">DAMPER REGULADOR DE VAZAO DE AR COM LAMINAS OPOSTAS
NCM: 9026.10.29 - 400X100X140
</t>
  </si>
  <si>
    <t xml:space="preserve">GRELHA DE RETORNO DE AR ALETAS HORIZONTAIS FIXAS COM REGISTRO DE LÂMINAS OPOSTAS
NCM: 9026.10.29 - 300X200
</t>
  </si>
  <si>
    <t xml:space="preserve">GRELHA DE RETORNO DE AR ALETAS HORIZONTAIS FIXAS COM REGISTRO DE LÂMINAS OPOSTAS
NCM: 9026.10.29 - 250X400
</t>
  </si>
  <si>
    <t xml:space="preserve">VENEZIANA PARA AR EXTERNO ALETAS HORIZONTAIS FIXAS E ESPAÇAMENTO ENTRE AS ALETAS DE 33 MM COM TELA
VIVEIRO
NCM: 9026.10.29 - 580X330
</t>
  </si>
  <si>
    <t>18.050.0210-0</t>
  </si>
  <si>
    <t>PAINEL MODULAR GASES MEDICINAIS P/LEITO HOSPITALAR,COMPR.1,45M ALT.0,30M,3 MODULOS INDEPENDENTES CONTENDO 6 SAIDAS P/GASES,SENDO:2 SAIDAS OXIGENIO,2 SAIDAS AR COMPRIMIDO 2 SAIDAS VACUO,ANVISA/MS (RDC 50-2002) ABNT NBR 12118,11 TOMADAS ELETRICAS 110V,2 TOMADAS ELETRICAS 220V,2 TOMADAS LOGICA,1 CHAMADA ENFERMAGEM,1 LUMINARIA DESCANSO,1 INTERRUPTOR.FORN.INSTAL.</t>
  </si>
  <si>
    <t>Split System Slim Hospitalar 1,5TR- 220/1/60Hz_x0002_Controle Micro Processado- Modelo: SSH D 15 
1MXXFRXXP + Unidade Condensadora - Filtro G4+F9- EC Fan- Compressor 
Inverter- Controle ON/OFF- Vazão: 1.000m³/h- Pressão: 
150Pa</t>
  </si>
  <si>
    <t>COMPOSIÇÃO 7</t>
  </si>
  <si>
    <t xml:space="preserve">DIFUSOR DIRECIONAL QUADRADO DE 4 VIAS PARA INSUFLAMENTO COM REGISTRO DE LAMINAS OPOSTAS NCM: 9026.10.29 - DQ 450X450
</t>
  </si>
  <si>
    <t>DIFUSOR DIRECIONAL QUADRADO DE 4 VIAS PARA INSUFLAMENTO COM REGISTRO DE LAMINAS OPOSTAS NCM: 9026.10.29 - DQ400X400</t>
  </si>
  <si>
    <t xml:space="preserve">GRELHA DE DUPLA DEFLEXAO ALETAS FRONTAIS VERTICAIS POSTERIORES HORIZONTAIS MOVEIS E REGISTRO
NCM: 9026.10.29 - 300X200
</t>
  </si>
  <si>
    <t xml:space="preserve">VENEZIANA PARA AR EXTERNO ALETAS HORIZONTAIS FIXAS E ESPAÇAMENTO ENTRE AS ALETAS DE 33 MM COM TELA VIVEIRO NCM: 9026.10.29 - 585X330
</t>
  </si>
  <si>
    <t xml:space="preserve">GRELHA DE DUPLA DEFLEXAO ALETAS FRONTAIS VERTICAIS POSTERIORES HORIZONTAIS MOVEIS E REGISTRO NCM: 9026.10.29 - 300X150
</t>
  </si>
  <si>
    <t xml:space="preserve">GRELHA DE DUPLA DEFLEXAO ALETAS FRONTAIS VERTICAIS POSTERIORES HORIZONTAIS MOVEIS E REGISTRO NCM: 9026.10.29 - 600X300
</t>
  </si>
  <si>
    <t xml:space="preserve">GRELHA DE DUPLA DEFLEXAO ALETAS FRONTAIS VERTICAIS POSTERIORES HORIZONTAIS MOVEIS E REGISTRO NCM: 9026.10.29 - 300X200
</t>
  </si>
  <si>
    <t xml:space="preserve">DAMPER REGULADOR DE VAZAO DE AR COM LAMINAS OPOSTAS NCM: 9026.10.29 - 200X200X140
</t>
  </si>
  <si>
    <t>GRELHA DE RETORNO DE AR ALETAS HORIZONTAIS FIXAS COM REGISTRO DE LÂMINAS OPOSTAS - 500X300</t>
  </si>
  <si>
    <t>DQ 4V-R-CP-CS LAT</t>
  </si>
  <si>
    <t>DIFUSOR QUADRADO PARA INSUFLAMENTO DIRECIONAL 4 VIAS COM REGISTRO DE LÂMINAS OPOSTAS COM CAIXA PLENUM E COLARINHO SIMPLES
NCM: 9026.10.29 - 350X350 CL:Ø150</t>
  </si>
  <si>
    <t>GRELHA DE DUPLA DEFLEXAO ALETAS FRONTAIS VERTICAIS POSTERIORES HORIZONTAIS MOVEIS E REGISTRO NCM: 9026.10.29 - 300X100</t>
  </si>
  <si>
    <r>
      <rPr>
        <sz val="11"/>
        <rFont val="Calibri"/>
        <family val="2"/>
      </rPr>
      <t>GRELHA DE DUPLA DEFLEXAO ALETAS FRONTAIS VERTICAIS POSTERIORES HORIZONTAIS MOVEIS E REGISTRO NCM: 9026.10.29</t>
    </r>
    <r>
      <rPr>
        <sz val="11"/>
        <color theme="1"/>
        <rFont val="Calibri"/>
        <family val="2"/>
      </rPr>
      <t xml:space="preserve"> - 200X100</t>
    </r>
  </si>
  <si>
    <t>GRELHA DE RETORNO DE AR ALETAS HORIZONTAIS FIXAS COM REGISTRO DE LÂMINAS OPOSTAS NCM: 9026.10.29 - 500X200</t>
  </si>
  <si>
    <t>VENEZIANA PARA AR EXTERNO ALETAS HORIZONTAIS FIXAS E ESPAÇAMENTO ENTRE AS ALETAS DE 33 MM COM TELA VIVEIRO NCM: 9026.10.29 - 380X330</t>
  </si>
  <si>
    <t>GRELHA DE DUPLA DEFLEXAO ALETAS FRONTAIS VERTICAIS POSTERIORES HORIZONTAIS MOVEIS E REGISTRO NCM: 9026.10.29 - 200X200</t>
  </si>
  <si>
    <t>GRELHA DE RETORNO DE AR ALETAS HORIZONTAIS FIXAS COM REGISTRO DE LÂMINAS OPOSTAS NCM: 9026.10.29 - 200X100</t>
  </si>
  <si>
    <t>FORRO ARMADO MONOLITICO DE DRYWALL,COMPOSTO DE UMA CHAPA GE SSO ACARTONADO,TIPO STANDARD,LARGURA DE
600MM,COMPRIMENTO DE 2000MM E ESPESSURA DE 12,5MM,COM TRATAMENTO JUNTAS COM MASS A E FITA PARA UNIFORMIZACAO DA SUPERFICIE DAS CHAPAS DE GESS O ACART</t>
  </si>
  <si>
    <t>QUANTIDADE DE LEITOS</t>
  </si>
  <si>
    <t>QUANTIDADE DE BANHEIROS</t>
  </si>
  <si>
    <t>CABO DE TELEFONE</t>
  </si>
  <si>
    <t>QDLT1</t>
  </si>
  <si>
    <t>CARRETA</t>
  </si>
  <si>
    <t>10 SAPATAS</t>
  </si>
  <si>
    <t>1,00X1,00X1,50</t>
  </si>
  <si>
    <t>SAPATAS</t>
  </si>
  <si>
    <t>1,00X1,00X1,15</t>
  </si>
  <si>
    <t>PILARES</t>
  </si>
  <si>
    <t>0,30X0,15X0,1,20</t>
  </si>
  <si>
    <t>0,30X0,15X0,70</t>
  </si>
  <si>
    <t>MAGRO</t>
  </si>
  <si>
    <t>SAPATA</t>
  </si>
  <si>
    <t>VIGAS</t>
  </si>
  <si>
    <t>ESCADA</t>
  </si>
  <si>
    <t>LAJE</t>
  </si>
  <si>
    <t>PISO PODOTATIL RAMPA</t>
  </si>
  <si>
    <t>VIDRO</t>
  </si>
  <si>
    <t>GUARDA CORPO</t>
  </si>
  <si>
    <t>ULTRASSONICA</t>
  </si>
  <si>
    <t>QDLT PARA QDNB1</t>
  </si>
  <si>
    <t xml:space="preserve">QDF AR </t>
  </si>
  <si>
    <t>QDF AR</t>
  </si>
  <si>
    <t>UE/UC18</t>
  </si>
  <si>
    <t>DEP INSUMO</t>
  </si>
  <si>
    <t>UE/UC19</t>
  </si>
  <si>
    <t>DESCANSO FUNCIONÁTRIOS</t>
  </si>
  <si>
    <t>UE/UC20</t>
  </si>
  <si>
    <t>UE/UC21A</t>
  </si>
  <si>
    <t>UE/UC21B</t>
  </si>
  <si>
    <t>UE/UC22</t>
  </si>
  <si>
    <t>UE/UC23A</t>
  </si>
  <si>
    <t>UE/UC23B</t>
  </si>
  <si>
    <t>QDF AR 1</t>
  </si>
  <si>
    <t>QDF AR 2</t>
  </si>
  <si>
    <t>FISIOTERAPIA OCUPACIONAL 1</t>
  </si>
  <si>
    <t>FISIOTERAPIA OCUPACIONAL 2</t>
  </si>
  <si>
    <t>PROFISSIONAL</t>
  </si>
  <si>
    <t>DURAÇÃO/MESES</t>
  </si>
  <si>
    <t>01.050.0325-0</t>
  </si>
  <si>
    <t>SERVICOS DE ELABORACAO DE VISTORIAS,LAUDOS TECNICOS,ANTEPROJETOS DE INTERVENCOES LOCALIZADAS,QUANTITATIVOS E RELATORIO FOTOGRAFICO PARA EXECUCAO DE RECUPERACAO ESTRUTURAL DE PREDIOS PUBLICOS,COM AREAS DE PROJECAO HORIZONTAL ATE 1000M2,APRESENTADO NOS PADROES DA CONTRATANTE</t>
  </si>
  <si>
    <t>MES</t>
  </si>
  <si>
    <t>05.001.0002-1</t>
  </si>
  <si>
    <t>DEMOLICAO MANUAL DE CONCRETO ARMADO COMPREENDENDO PILARES,VIGAS E LAJES,EM ESTRUTURA APRESENTANDO POSICAO ESPECIAL,INCLUSIVE EMPILHAMENTO LATERAL DENTRO DO CANTEIRO DE SERVICO</t>
  </si>
  <si>
    <t>TRANSPORTE HORIZONTAL DE MATERIAL DE 1ªCATEGORIA OU ENTULHO,EM CARRINHOS,A 60,00M DE DISTANCIA,INCLUSIVE CARGA A PA</t>
  </si>
  <si>
    <t>05.001.0755-0</t>
  </si>
  <si>
    <t>LIXAMENTO DE CONCRETO APARENTE,ANTIGO,SERVICO MANUAL</t>
  </si>
  <si>
    <t>11.009.0014-1</t>
  </si>
  <si>
    <t>BARRA DE ACO CA-50,COM SALIENCIA OU MOSSA,COEFICIENTE DE CONFORMACAO SUPERFICIAL MINIMO (ADERENCIA) IGUAL A 1,5,DIAMETRODE 8 A 12,5MM,DESTINADA A ARMADURA DE CONCRETO ARMADO,10%DE PERDAS DE PONTAS E ARAME 18.FORNECIMENTO</t>
  </si>
  <si>
    <t>11.011.0030-1</t>
  </si>
  <si>
    <t>CORTE,DOBRAGEM,MONTAGEM E COLOCACAO DE FERRAGENS NAS FORMAS,ACO CA-50,EM BARRAS REDONDAS,COM DIAMETRO DE 8 A 12,5MM</t>
  </si>
  <si>
    <t>11.004.0053-1</t>
  </si>
  <si>
    <t>ESCORAMENTO DE FORMAS DE MOLDAGEM DE PECAS DE CONCRETO EM VIGAS ISOLADAS E SEMELHANTES,ATE 5,00M DE PE DIREITO,E ATE 60CM DE ALTURA,COM MADEIRA DE 3ª,EMPREGADO 2 VEZES,MEDIDA PELAAREA DE PROJECAO LATERAL DE ESCORAMENTO(COMPRIMENTO DA VIGAVEZES ALTURA DO ESCORAMENTO ATE O FUNDO DA MESMA)</t>
  </si>
  <si>
    <t>11.005.0001-1</t>
  </si>
  <si>
    <t>FORMAS DE CHAPAS DE MADEIRA COMPENSADA,EMPREGANDO-SE AS DE 14MM,RESINADAS,E TAMBEM AS DE 20MM DE ESPESSURA,PLASTIFICADAS,SERVIN DO 4 VEZES,E A MADEIRA AUXILIAR SERVINDO 3 VEZES,INCLUSIVE FORNECIMENTO E DESMOLDAGEM,EXCLUSIVE ESCORAMENTO</t>
  </si>
  <si>
    <t>MAO-DE-OBRA DE TECNICO DE EDIFICACOES,INCLUSIVE ENCARGOS SOCIAIS</t>
  </si>
  <si>
    <t>05.105.0185-0</t>
  </si>
  <si>
    <t>MAO-DE-OBRA DE APROPRIADOR,INCLUSIVE ENCARGOS SOCIAIS</t>
  </si>
  <si>
    <t>05.001.0160-0</t>
  </si>
  <si>
    <t>PERCUSSAO COM BATIDAS LEVES,SEM RETIRADA DO MATERIAL SOLTO</t>
  </si>
  <si>
    <t>REMOCAO MANUAL CUIDADOSA DA CAMADA DE CAPEAMENTO DE CONCRETO ARMADO,VISANDO EXPOSICAO DA ARMADURA,USANDO CINZEL,PONTEIROE ESCOVA DE ACO</t>
  </si>
  <si>
    <t>05.001.0056-0</t>
  </si>
  <si>
    <t>05.001.0008-0</t>
  </si>
  <si>
    <t>DEMOLICAO DE REVESTIMENTO EM ARGAMASSA DE CIMENTO E AREIA EM PAREDE</t>
  </si>
  <si>
    <t>PRIMER CONVERTEDOR DE FERRUGEM EM FUNDO DE PROTECAO,EM DUAS DEMAOS.FORNECIMENTO E APLICACAO</t>
  </si>
  <si>
    <t>17.017.0365-0</t>
  </si>
  <si>
    <t>APLICACAO DE RESINA EPOXICA EM COLAGEM DE PECAS DE CONCRETO,INCLUSIVE PREPARO DO LOCAL E FORNECIMENTO DE MATERIAL.CUSTOPOR KG DE RESINA UTILIZADA</t>
  </si>
  <si>
    <t>07.160.0020-1</t>
  </si>
  <si>
    <t>RECUPERACAO DE ESTRUTURA,CAVIDADES E ARESTAS EM CONCRETO ARMADO,COM ARGAMASSA TIXOTROPICA POLIMERICA DE ALTO DESEMPENHOCOM ESPESSURA ATE 3CM</t>
  </si>
  <si>
    <t>11.090.0600-0</t>
  </si>
  <si>
    <t>13.001.0010-1</t>
  </si>
  <si>
    <t>CHAPISCO EM SUPERFICIE DE CONCRETO OU ALVENARIA,COM ARGAMASSA DE CIMENTO E AREIA,NO TRACO 1:3,COM 5MM DE ESPESSURA</t>
  </si>
  <si>
    <t>16.026.0010-0</t>
  </si>
  <si>
    <t>IMPERMEABILIZANTE DA SUPERFICIE DE CONCRETO EM PRESENCA OU NAO DE UMIDADE OU DE LENCOL FREATICO,EMPREGANDO SISTEMA PROGRESSIVO DE CRISTALIZACAO COMPOSTO DE INGREDIENTES ATIVOS QUEPENETRAM PROFUNDAMENTE NO CONCRETO POR PROCESSO CATALITICO,GERANDO CRISTAIS INSOLUVEIS DE FIBRAS DENTRITICAS NOS POROS ECAPILARIDADES</t>
  </si>
  <si>
    <t>05.001.0001-0</t>
  </si>
  <si>
    <t>DEMOLICAO MANUAL DE CONCRETO SIMPLES COM EMPILHAMENTO LATERAL DENTRO DO CANTEIRO DE SERVICO</t>
  </si>
  <si>
    <t>RETIRADA DE ENTULHO DE OBRA COM CACAMBA DE ACO TIPO CONTAINER COM 5M3 DE CAPACIDADE,INCLUSIVE CARREGAMENTO,TRANSPORTE EDESCARREGAMENTO.CUSTO POR UNIDADE DE CACAMBA E INCLUI A TAXA PARA DESCARGA EM LOCAIS AUTORIZADOS</t>
  </si>
  <si>
    <t>EMBOCO INTERNO COM ARGAMASSA DE CIMENTO,CAL HIDRATADA ADITIVADA E AREIA,NO TRACO 1:1:8,COM ESPESSURA DE 1,5CM,EXCLUSIVECHAPISCO</t>
  </si>
  <si>
    <t>13.001.0036-0</t>
  </si>
  <si>
    <t>05.001.0750-0</t>
  </si>
  <si>
    <t>LIMPEZA DE SUPERFICIE DE CONCRETO E DA ARMADURA,COM ESCOVA DE ACO,APOS RETIRADA DO CAPEAMENTO,EXCLUSIVE ESTE</t>
  </si>
  <si>
    <t>REFORÇO ESTRUTURAL</t>
  </si>
  <si>
    <t>CONTRATO S/ BDI</t>
  </si>
  <si>
    <t>BDI 21,99%</t>
  </si>
  <si>
    <t>TOTAL CONTRATO</t>
  </si>
  <si>
    <t xml:space="preserve">ADMINISTRAÇÃO </t>
  </si>
  <si>
    <t>MAO-DE-OBRA DE MESTRE DE OBRA A,INCLUSIVE ENCARGOS SOCIAIS</t>
  </si>
  <si>
    <t>MÊS</t>
  </si>
  <si>
    <t>MAO-DE-OBRA DE ALMOXARIFE,INCLUSIVE ENCARGOS SOCIAIS</t>
  </si>
  <si>
    <t>MAO-DE-OBRA DE ENCARREGADO DE OBRA,INCLUSIVE ENCARGOS SOCIAIS</t>
  </si>
  <si>
    <t>05.105.0123-0</t>
  </si>
  <si>
    <t>MAO-DE-OBRA DE AUXILIAR DE ALMOXARIFE,INCLUSIVE ENCARGOS SOCIAIS</t>
  </si>
  <si>
    <t>05.105.0132-0</t>
  </si>
  <si>
    <t>MAO-DE-OBRA DE ENGENHEIRO OU ARQUITETO COORDENADOR GERAL DE PROJETOS OU SUPERVISOR DE OBRAS,INCLUSIVE ENCARGOS SOCIAIS</t>
  </si>
  <si>
    <t>05.105.0155-0</t>
  </si>
  <si>
    <t>MAO-DE-OBRA ELETROTECNICO,INCLUSIVE ENCARGOS SOCIAIS</t>
  </si>
  <si>
    <t>05.105.0169-0</t>
  </si>
  <si>
    <t>MAO-DE-OBRA DE TECNICO DE SEGURANCA DO TRABALHO,INCLUSIVE ENCARGO</t>
  </si>
  <si>
    <t>05.105.0133-0</t>
  </si>
  <si>
    <t>MAO-DE-OBRA DESENHISTA A,INCLUSIVE ENCARGOS SOCIAIS</t>
  </si>
  <si>
    <t>QUANTIDADES</t>
  </si>
  <si>
    <t>PRÉDIOS</t>
  </si>
  <si>
    <t>ÁREAS (m2)</t>
  </si>
  <si>
    <t>ESTRUTURA A SER TRATADA (m2)</t>
  </si>
  <si>
    <t>AÇO (kg)</t>
  </si>
  <si>
    <t xml:space="preserve">TELA (Kg) </t>
  </si>
  <si>
    <t>CONCRETO JATEADO (m3)</t>
  </si>
  <si>
    <t>GRAUTE (m3)</t>
  </si>
  <si>
    <t>ARQUIVO MORTO - ALMOXARIFADO</t>
  </si>
  <si>
    <t>TOTAIS</t>
  </si>
  <si>
    <t>GROUT + CONCRETO JATEADO</t>
  </si>
  <si>
    <t xml:space="preserve">AREA DE DEMOLIÇÃO 0,3CM </t>
  </si>
  <si>
    <t>DESCRIÇÃO</t>
  </si>
  <si>
    <t>EMOP</t>
  </si>
  <si>
    <t>SCO</t>
  </si>
  <si>
    <t>18.018.0010-0</t>
  </si>
  <si>
    <t>CORTINA DIVISORIA HOSPITALAR,SEM EMENDAS,CONFECCIONADA EM VINIL DE ALTA ESPESSURA,DE APROXIMADAMENTE 0,4MM,ANTICHAMA,ANTIFUNGO,BACT ERICIDA E ANTIESTATICO,COM ALTURA DE 1,80M,PINTURA ELETROSTATICA BRANCA,INCLUSIVE ILHOSES,TRILHOS,GANCHOS,RODIZI OS E ACESSORIOS DE FIXACAO.FORNECIMENTO E COLOCACAO</t>
  </si>
  <si>
    <t>14.004.0205-0</t>
  </si>
  <si>
    <t>PELICULA REFLETIVA DE CONTROLE SOLAR.FORNECIMENTO E COLOCACAO</t>
  </si>
  <si>
    <t>10 BANHEIROS</t>
  </si>
  <si>
    <t xml:space="preserve">TOTAL: </t>
  </si>
  <si>
    <t>OUTROS</t>
  </si>
  <si>
    <t>DESINFECÇÃO QUIMICA</t>
  </si>
  <si>
    <t>RECEPÇÃO E LIMPEZA</t>
  </si>
  <si>
    <t>PREPARO E ESTERILIZAÇÃO</t>
  </si>
  <si>
    <t>LEITO 1</t>
  </si>
  <si>
    <t>LEITO 2</t>
  </si>
  <si>
    <t>LEITO 3</t>
  </si>
  <si>
    <t>LEITO 4</t>
  </si>
  <si>
    <t>LEITO 5</t>
  </si>
  <si>
    <t>LEITO 6</t>
  </si>
  <si>
    <t>SOLEIRA</t>
  </si>
  <si>
    <t>DEPOSITO DE INSUMOS</t>
  </si>
  <si>
    <t>URINALISE/DML</t>
  </si>
  <si>
    <t/>
  </si>
  <si>
    <t xml:space="preserve">PRESSOSTATO DIGITAL
PRESSÃO RELATIVA OU PRESSÃO DIFERENCIAL  – MODELO VEC-P-EVK-411-M7-LED
MÓDULO INDICADOR COM 1 DISPLAY MODELO VEC-P-EVK-411-M7-LED
DISPLAY 1 = PRESSÃO
DISPLAY TIPO LED LUMINOSO
ALIMENTAÇÃO 220 VOLTS 
1 SONALARME INTERNO
1 LAMPADA ESTOBROSCÓPICA VERMELHA
1 SET POINT DE ALARME
MONTADO EM CAIXA PLÁSTICA ABS PARA SOBREPOR A PAREDE.
</t>
  </si>
  <si>
    <t>FORNECIMENTO E INSTALAÇÃO DE SISTEMA DO TIPO SPLIT SYSTEM HSOPITALAR 3TR- 220/1/60Hz- Controle 
Micro Processado+Unidade Condensadora -
Filtro G4+F9- EC Fan- Compressor Inverter- Controle 
ON/OFF- Reaquecimento 03 RES. DE 1,00KW- Vazão: 
1.700m³/h- Pressão: 150Pa</t>
  </si>
  <si>
    <t>Fornecimento de Split System Slim Hospitalar 3TR- 220/1/60Hz- Controle 
Micro Processado+Unidade Condensadora -
Filtro G4+F9- EC Fan- Compressor Inverter- Controle 
ON/OFF- Reaquecimento 03 RES. DE 1,00KW- Vazão: 
1.700m³/h- Pressão: 150Pa</t>
  </si>
  <si>
    <t>MERCADO/SINAP/EMOP</t>
  </si>
  <si>
    <t>14.004.0200-0</t>
  </si>
  <si>
    <t>PELICULA DE SEGURANCA ANTI-IMPACTO E CONTROLE SOLAR.FORNECIMENTO E COLOCACAO</t>
  </si>
  <si>
    <t>05.001.0162-0</t>
  </si>
  <si>
    <t>RETIRADA DE IMPERMEABILIZACAO FLEXIVEL,INCLUSIVE EMPILHAMENTO LATERAL DENTRO DO CANTEIRO DE SERVICO,EXCLUSIVE CAMADA DEPROTECAO</t>
  </si>
  <si>
    <t>MP15050250/</t>
  </si>
  <si>
    <t>ENGENHEIRO MECANICO OU ELETRICISTA DE INSTALACAO E MANUTENCAO DE EQUIPAMENTOS (AR CONDICIONADO CENTRAL SELF / EXP. DIRETA, CALDEIRA, GERADOR, SUBESTACAO E ELEVADOR), INCLUSIVE ENCARGOS SOCIAIS E INSALUBRIDADE.</t>
  </si>
  <si>
    <t>H/MÊS</t>
  </si>
  <si>
    <t>15.015.0250-0</t>
  </si>
  <si>
    <t>INSTALACAO DE PONTO DE TOMADA,EMBUTIDO NA ALVENARIA,EQUIVALE NTE A 2 VARAS DE ELETRODUTO DE PVC RIGIDO DE 3/4",18,00M DE FIO 2,5MM2,CAIXAS,CONEXOES E TOMADA DE EMBUTIR,2P+T,10A,PADR AO BRASILEIRO,COM PLACA FOSFORESCENTE,INCLUSIVE ABERTURA E F ECHAMEN</t>
  </si>
  <si>
    <t>15.008.0085-0</t>
  </si>
  <si>
    <t>CABO DE COBRE FLEXIVEL COM ISOLAMENTO TERMOPLASTICO,COMPREEN DENDO:PREPARO,CORTE E ENFIACAO EM ELETRODUTOS,NA BITOLA DE 2 ,5MM2, 450/750V.FORNECIMENTO E COLOCACAO</t>
  </si>
  <si>
    <t>TUBO / MANGUEIRA PRETA EM POLIETILENO, LINHA PESADA OU REFORCADA, TIPO ESPAGUETE, PARA INJECAO DE CALDA DE CIMENTO, D = 1/2, ESPESSURA 1,5 MM</t>
  </si>
  <si>
    <t xml:space="preserve">Tomada de pressão DE AÇO INOX  diâmetro 6 mm comprimento total 50 mm com acabamento ACHATADO TIPO MOEDA. Acompanha porca e arruela de inox para ajuste e fixação </t>
  </si>
  <si>
    <t>19.004.0001-2</t>
  </si>
  <si>
    <t>CAMINHAO COM CARROCERIA FIXA,NO TOCO,CAPACICADE DE 3,5T,INCLUSIVE MOTORISTA</t>
  </si>
  <si>
    <r>
      <t>GRELHA DE RETORNO DE AR ALETAS HORIZONTAIS FIXAS COM REGISTRO DE LÂMINAS OPOSTAS
NCM: 9026.10.29</t>
    </r>
    <r>
      <rPr>
        <sz val="11"/>
        <color theme="1"/>
        <rFont val="Calibri"/>
        <family val="2"/>
      </rPr>
      <t xml:space="preserve"> - 500X300</t>
    </r>
  </si>
  <si>
    <r>
      <t>GRELHA DE DUPLA DEFLEXAO ALETAS FRONTAIS VERTICAIS POSTERIORES HORIZONTAIS MOVEIS E REGISTRO
NCM: 9026.10.29</t>
    </r>
    <r>
      <rPr>
        <sz val="11"/>
        <color theme="1"/>
        <rFont val="Calibri"/>
        <family val="2"/>
      </rPr>
      <t xml:space="preserve"> - 400X200</t>
    </r>
  </si>
  <si>
    <r>
      <t>DIFUSOR DIRECIONAL RETANGULAR DE 1 VIA PARA INSUFLAMENTO COM REGISTRO
NCM: 9026.10.29</t>
    </r>
    <r>
      <rPr>
        <sz val="11"/>
        <color theme="1"/>
        <rFont val="Calibri"/>
        <family val="2"/>
      </rPr>
      <t xml:space="preserve"> - 871X208</t>
    </r>
  </si>
  <si>
    <r>
      <t>DIFUSOR DIRECIONAL RETANGULAR DE 1 VIA PARA INSUFLAMENTO COM REGISTRO
NCM: 9026.10.29</t>
    </r>
    <r>
      <rPr>
        <sz val="11"/>
        <color theme="1"/>
        <rFont val="Calibri"/>
        <family val="2"/>
      </rPr>
      <t xml:space="preserve"> - 471X208</t>
    </r>
  </si>
  <si>
    <r>
      <t>GRELHA DE RETORNO DE AR ALETAS HORIZONTAIS FIXAS COM REGISTRO DE LÂMINAS OPOSTAS
NCM: 9026.10.29</t>
    </r>
    <r>
      <rPr>
        <sz val="11"/>
        <color theme="1"/>
        <rFont val="Calibri"/>
        <family val="2"/>
      </rPr>
      <t xml:space="preserve"> - 200X600</t>
    </r>
  </si>
  <si>
    <r>
      <t>GRELHA DE RETORNO DE AR ALETAS HORIZONTAIS FIXAS COM REGISTRO DE LÂMINAS OPOSTAS
NCM: 9026.10.29</t>
    </r>
    <r>
      <rPr>
        <sz val="11"/>
        <color theme="1"/>
        <rFont val="Calibri"/>
        <family val="2"/>
      </rPr>
      <t xml:space="preserve"> - 150X300</t>
    </r>
  </si>
  <si>
    <r>
      <t>GRELHA DE RETORNO DE AR ALETAS HORIZONTAIS FIXAS COM REGISTRO DE LÂMINAS OPOSTAS
NCM: 9026.10.29</t>
    </r>
    <r>
      <rPr>
        <sz val="11"/>
        <color theme="1"/>
        <rFont val="Calibri"/>
        <family val="2"/>
      </rPr>
      <t xml:space="preserve"> - 300X150</t>
    </r>
  </si>
  <si>
    <r>
      <t>GRELHA DE DUPLA DEFLEXAO ALETAS FRONTAIS VERTICAIS POSTERIORES HORIZONTAIS MOVEIS E REGISTRO
NCM: 9026.10.29</t>
    </r>
    <r>
      <rPr>
        <sz val="11"/>
        <color theme="1"/>
        <rFont val="Calibri"/>
        <family val="2"/>
      </rPr>
      <t xml:space="preserve"> - 200X100</t>
    </r>
  </si>
  <si>
    <r>
      <t>GRELHA DE DUPLA DEFLEXAO ALETAS FRONTAIS VERTICAIS POSTERIORES HORIZONTAIS MOVEIS E REGISTRO
NCM: 9026.10.29</t>
    </r>
    <r>
      <rPr>
        <sz val="11"/>
        <color theme="1"/>
        <rFont val="Calibri"/>
        <family val="2"/>
      </rPr>
      <t xml:space="preserve"> -400X200</t>
    </r>
  </si>
  <si>
    <r>
      <t>GRELHA DE RETORNO DE AR ALETAS HORIZONTAIS FIXAS COM REGISTRO DE LÂMINAS OPOSTAS
NCM: 9026.10.29</t>
    </r>
    <r>
      <rPr>
        <sz val="11"/>
        <color theme="1"/>
        <rFont val="Calibri"/>
        <family val="2"/>
      </rPr>
      <t xml:space="preserve"> - 400X200</t>
    </r>
  </si>
  <si>
    <t>A+B</t>
  </si>
  <si>
    <t>INSTALAÇÃO/ACOMPANHAMENTO</t>
  </si>
  <si>
    <t>ENGENHEIRO MECANICO/AUTOMAÇÃO</t>
  </si>
  <si>
    <t>H/EQUIPAMENTO</t>
  </si>
  <si>
    <t>QUANT. EQUIPAMENTO</t>
  </si>
  <si>
    <t>QUANT. TOMADA</t>
  </si>
  <si>
    <t>METRO</t>
  </si>
  <si>
    <t>CABO 2,5MM</t>
  </si>
  <si>
    <t>FASES</t>
  </si>
  <si>
    <t>MANGUEIRA</t>
  </si>
  <si>
    <t>SÃO PAULO X RIO DE JANEIRO</t>
  </si>
  <si>
    <t>HORAS</t>
  </si>
  <si>
    <t>LEITOS / ENFERMARIAS</t>
  </si>
  <si>
    <t>ENFERMARIAS</t>
  </si>
  <si>
    <t>QUANT. ENFERMARIAS</t>
  </si>
  <si>
    <t>PERIMETRO</t>
  </si>
  <si>
    <t>BOX 1</t>
  </si>
  <si>
    <t>FORNECIMENTO E INSTALAÇÃO DE Split System Slim Hospitalar 1,5TR- 220/1/60Hz Controle Micro Processado+ Unidade Condensadora - Filtro G4+F9+H13- EC Fan- Compressor 
Inverter- Controle ON/OFF- Reaquecimento 1,00KW Vazão: 850m³/h- Pressão: 150Pa</t>
  </si>
  <si>
    <t>COMPISIÇÃO 2</t>
  </si>
  <si>
    <t xml:space="preserve">PRESSOSTATO DIGITAL PRESSÃO RELATIVA OU PRESSÃO DIFERENCIAL  – MODELO VEC-P-EVK-411-M7-LED
MÓDULO INDICADOR COM 1 DISPLAY MODELO VEC-P-EVK-411-M7-LED
DISPLAY 1 = PRESSÃO
DISPLAY TIPO LED LUMINOSO
ALIMENTAÇÃO 220 VOLTS 
1 SONALARME INTERNO
1 LAMPADA ESTOBROSCÓPICA VERMELHA
1 SET POINT DE ALARME
MONTADO EM CAIXA PLÁSTICA ABS PARA SOBREPOR A PAREDE.
</t>
  </si>
  <si>
    <t xml:space="preserve">FORNECIMENTO E INSTALAÇÃO DE PRESSOSTATO DIGITAL PRESSÃO RELATIVA OU PRESSÃO DIFERENCIAL  – MODELO VEC-P-EVK-411-M7-LED MÓDULO INDICADOR COM 1 DISPLAY MODELO VEC-P-EVK-411-M7 LED DISPLAY 1 = PRESSÃO DISPLAY TIPO LED LUMINOSO ALIMENTAÇÃO 220 VOLTS  1 SONALARME INTERNO 1 LAMPADA ESTOBROSCÓPICA VERMELHA 1 SET POINT DE ALARME MONTADO EM CAIXA PLÁSTICA ABS PARA SOBREPOR A PAREDE. Tomada de pressão DE AÇO INOX  diâmetro 6 mm comprimento total 50 mm com acabamento ACHATADO TIPO MOEDA. Acompanha porca e arruela de inox para ajuste e fixação </t>
  </si>
  <si>
    <t>SCO MP15050250/</t>
  </si>
  <si>
    <t>EMOP 15.015.0250-0</t>
  </si>
  <si>
    <t>EMOP 15.008.0085-0</t>
  </si>
  <si>
    <t>SINAPI 39848</t>
  </si>
  <si>
    <t>EMOP 9.004.0001-2</t>
  </si>
  <si>
    <t>PRESSOSTATO ISOLAMENTO</t>
  </si>
  <si>
    <t>FORNECIMENTO E INSTALAÇÃO Unidade de Tratamento de Ar 7,5TR- 220/3/60hHz Controle Micro Processado+ Unidade 
Condensadora- Modelo: UCH 10A2FIBEACPP Compressor Inverter- Controle ON/OFF- EC Fan- G4+F9-
Vazão: 5.000m³/h- Pressão: 250Pa</t>
  </si>
  <si>
    <t>FORNECIMENTO E INSTALAÇÃO DE Split System Slim Hospitalar 3TR- 220/1/60Hz- Controle Micro Processado+ Unidade Condensadora-Filtro G4+F9- EC Fan- Compressor Inverter- Controle ON/OFF- Reaquecimento 03 RES. DE 1,00KW- Vazão: 2.040m³/h- Pressão: 150Pa</t>
  </si>
  <si>
    <t>EMOP / SINAPI / MERCADO</t>
  </si>
  <si>
    <t>FORNECIMENTO E INSTALAÇÃO DE Unidade de Tratamento de Ar 10TR- 220/3/60hHz Controle Micro Processado + Unidade Condensadora- Compressor Inverter- Controle ON/OFF- EC Fan- G4+F9-EC Fan- Vazão: 4.500m³/h- Pressão: 250Pa</t>
  </si>
  <si>
    <t xml:space="preserve">Unidade de Tratamento de Ar 10TR- 220/3/60Hz Controle Micro Processado+ Unidade Condensadora+ Filtro G4+F9- EC Fan Compressor Inverter- Controle ON/OFF- Vazão: 
6.200m³/h- Pressão: 200Pa- Reaquecimento 03 RES. DE 
2,50KW  </t>
  </si>
  <si>
    <t>FORNECIMENTO E INSTALAÇÃO DE Unidade de Tratamento de Ar 10TR- 220/3/60Hz_x0002_Controle Micro Processado+ Unidade Condensadora+ Filtro G4+F9- EC Fan_x0002_Compressor Inverter- Controle ON/OFF- Vazão: 
6.200m³/h- Pressão: 200Pa- Reaquecimento 03 RES. DE 
2,50KW_x0002_</t>
  </si>
  <si>
    <t>COMPOSIÇÃO 8</t>
  </si>
  <si>
    <t>EMOP 18.024.0050-5</t>
  </si>
  <si>
    <t>FORNECIMENTO E INSTALAÇÃO DE Split System Slim Hospitalar 1,5TR- 220/1/60Hz Controle Micro Processado- Modelo: SSH D 15 
1MXXFRXXP + Unidade Condensadora - Filtro G4+F9- EC Fan- Compressor 
Inverter- Controle ON/OFF- Vazão: 1.000m³/h- Pressão: 
150Pa</t>
  </si>
  <si>
    <t>EMOP / SINPI / MERCADO</t>
  </si>
  <si>
    <t>COMPOSIÇÃO 9</t>
  </si>
  <si>
    <t>05.100.0900-0</t>
  </si>
  <si>
    <t>UNIDADE REF.P/COMPL.ADM LOCAL,CONSID:CONSUMO</t>
  </si>
  <si>
    <t>05.105.0131-0</t>
  </si>
  <si>
    <t>UR</t>
  </si>
  <si>
    <t>MAO-DE-OBRA DE ENGENHEIRO (MECÂNICO) OU ARQUITETO SENIOR,INCLUSIVE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</si>
</sst>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quot;R$&quot;#,##0.00;[Red]\-&quot;R$&quot;#,##0.00"/>
    <numFmt numFmtId="165" formatCode="_-&quot;R$&quot;* #,##0.00_-;\-&quot;R$&quot;* #,##0.00_-;_-&quot;R$&quot;* &quot;-&quot;??_-;_-@_-"/>
    <numFmt numFmtId="166" formatCode="_-&quot;R$&quot;* #,##0.000_-;\-&quot;R$&quot;* #,##0.000_-;_-&quot;R$&quot;* &quot;-&quot;??_-;_-@_-"/>
  </numFmts>
  <fonts count="23"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8"/>
      <name val="Calibri"/>
      <family val="2"/>
      <scheme val="minor"/>
    </font>
    <font>
      <sz val="12"/>
      <name val="Calibri"/>
      <family val="2"/>
      <scheme val="minor"/>
    </font>
    <font>
      <sz val="12"/>
      <name val="Calibri"/>
      <family val="2"/>
    </font>
    <font>
      <sz val="12"/>
      <color theme="1" tint="4.9989318521683403E-2"/>
      <name val="Calibri"/>
      <family val="2"/>
      <scheme val="minor"/>
    </font>
    <font>
      <sz val="18"/>
      <color theme="1"/>
      <name val="Calibri"/>
      <family val="2"/>
      <scheme val="minor"/>
    </font>
    <font>
      <sz val="20"/>
      <color theme="1"/>
      <name val="Calibri"/>
      <family val="2"/>
      <scheme val="minor"/>
    </font>
    <font>
      <sz val="10"/>
      <color theme="1"/>
      <name val="Calibri"/>
      <family val="2"/>
      <scheme val="minor"/>
    </font>
    <font>
      <sz val="10"/>
      <name val="Calibri"/>
      <family val="2"/>
      <scheme val="minor"/>
    </font>
    <font>
      <sz val="11"/>
      <color theme="1"/>
      <name val="Calibri"/>
      <family val="2"/>
    </font>
    <font>
      <sz val="12"/>
      <color theme="1"/>
      <name val="Calibri"/>
      <family val="2"/>
    </font>
    <font>
      <sz val="11"/>
      <name val="Microsoft Sans Serif"/>
      <family val="2"/>
    </font>
    <font>
      <sz val="11"/>
      <name val="Calibri"/>
      <family val="2"/>
    </font>
    <font>
      <sz val="10"/>
      <name val="Calibri"/>
      <family val="2"/>
    </font>
    <font>
      <b/>
      <sz val="16"/>
      <color theme="1"/>
      <name val="Calibri"/>
      <family val="2"/>
      <scheme val="minor"/>
    </font>
    <font>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indexed="64"/>
      </patternFill>
    </fill>
  </fills>
  <borders count="3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style="thin">
        <color theme="0"/>
      </top>
      <bottom style="thin">
        <color theme="0"/>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1"/>
      </right>
      <top/>
      <bottom style="thin">
        <color theme="1"/>
      </bottom>
      <diagonal/>
    </border>
    <border>
      <left/>
      <right style="medium">
        <color indexed="64"/>
      </right>
      <top/>
      <bottom style="thin">
        <color indexed="64"/>
      </bottom>
      <diagonal/>
    </border>
    <border>
      <left style="medium">
        <color theme="1"/>
      </left>
      <right/>
      <top style="medium">
        <color theme="1"/>
      </top>
      <bottom/>
      <diagonal/>
    </border>
    <border>
      <left/>
      <right/>
      <top style="medium">
        <color theme="1"/>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medium">
        <color theme="1"/>
      </right>
      <top style="medium">
        <color theme="1"/>
      </top>
      <bottom/>
      <diagonal/>
    </border>
    <border>
      <left style="medium">
        <color theme="1"/>
      </left>
      <right style="thin">
        <color theme="0"/>
      </right>
      <top/>
      <bottom style="thin">
        <color theme="0"/>
      </bottom>
      <diagonal/>
    </border>
    <border>
      <left style="thin">
        <color theme="0"/>
      </left>
      <right style="medium">
        <color theme="1"/>
      </right>
      <top/>
      <bottom style="thin">
        <color theme="0"/>
      </bottom>
      <diagonal/>
    </border>
    <border>
      <left style="medium">
        <color theme="1"/>
      </left>
      <right style="thin">
        <color theme="0"/>
      </right>
      <top style="thin">
        <color theme="0"/>
      </top>
      <bottom style="thin">
        <color theme="0"/>
      </bottom>
      <diagonal/>
    </border>
    <border>
      <left style="thin">
        <color theme="0"/>
      </left>
      <right style="medium">
        <color theme="1"/>
      </right>
      <top style="thin">
        <color theme="0"/>
      </top>
      <bottom style="thin">
        <color theme="0"/>
      </bottom>
      <diagonal/>
    </border>
    <border>
      <left style="medium">
        <color theme="1"/>
      </left>
      <right style="thin">
        <color theme="0"/>
      </right>
      <top style="thin">
        <color theme="0"/>
      </top>
      <bottom style="medium">
        <color theme="1"/>
      </bottom>
      <diagonal/>
    </border>
    <border>
      <left style="thin">
        <color theme="0"/>
      </left>
      <right style="thin">
        <color theme="0"/>
      </right>
      <top style="thin">
        <color theme="0"/>
      </top>
      <bottom style="medium">
        <color theme="1"/>
      </bottom>
      <diagonal/>
    </border>
    <border>
      <left style="thin">
        <color theme="0"/>
      </left>
      <right style="medium">
        <color theme="1"/>
      </right>
      <top style="thin">
        <color theme="0"/>
      </top>
      <bottom style="medium">
        <color theme="1"/>
      </bottom>
      <diagonal/>
    </border>
    <border>
      <left/>
      <right style="thin">
        <color theme="0"/>
      </right>
      <top/>
      <bottom style="thin">
        <color theme="0"/>
      </bottom>
      <diagonal/>
    </border>
    <border>
      <left style="medium">
        <color theme="1"/>
      </left>
      <right style="thin">
        <color theme="0"/>
      </right>
      <top style="thin">
        <color theme="0"/>
      </top>
      <bottom/>
      <diagonal/>
    </border>
    <border>
      <left style="thin">
        <color theme="0"/>
      </left>
      <right style="medium">
        <color theme="1"/>
      </right>
      <top style="thin">
        <color theme="0"/>
      </top>
      <bottom/>
      <diagonal/>
    </border>
    <border>
      <left/>
      <right style="thin">
        <color theme="0"/>
      </right>
      <top style="thin">
        <color theme="0"/>
      </top>
      <bottom/>
      <diagonal/>
    </border>
    <border>
      <left style="thin">
        <color theme="1"/>
      </left>
      <right/>
      <top style="thin">
        <color theme="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0"/>
      </top>
      <bottom style="thin">
        <color theme="0"/>
      </bottom>
      <diagonal/>
    </border>
    <border>
      <left style="hair">
        <color theme="0"/>
      </left>
      <right style="hair">
        <color theme="0"/>
      </right>
      <top style="hair">
        <color theme="0"/>
      </top>
      <bottom style="hair">
        <color theme="0"/>
      </bottom>
      <diagonal/>
    </border>
    <border>
      <left style="thin">
        <color theme="1"/>
      </left>
      <right style="thin">
        <color theme="1"/>
      </right>
      <top style="medium">
        <color theme="1"/>
      </top>
      <bottom style="medium">
        <color theme="1"/>
      </bottom>
      <diagonal/>
    </border>
    <border>
      <left style="medium">
        <color theme="1"/>
      </left>
      <right/>
      <top/>
      <bottom style="thin">
        <color theme="0"/>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indexed="64"/>
      </left>
      <right style="medium">
        <color indexed="64"/>
      </right>
      <top/>
      <bottom/>
      <diagonal/>
    </border>
    <border>
      <left style="hair">
        <color indexed="64"/>
      </left>
      <right style="hair">
        <color indexed="64"/>
      </right>
      <top style="hair">
        <color indexed="64"/>
      </top>
      <bottom style="hair">
        <color indexed="64"/>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style="hair">
        <color theme="0"/>
      </bottom>
      <diagonal/>
    </border>
    <border>
      <left style="hair">
        <color theme="0"/>
      </left>
      <right style="hair">
        <color theme="0"/>
      </right>
      <top/>
      <bottom/>
      <diagonal/>
    </border>
    <border>
      <left/>
      <right style="thin">
        <color theme="0"/>
      </right>
      <top/>
      <bottom/>
      <diagonal/>
    </border>
    <border>
      <left style="hair">
        <color theme="1"/>
      </left>
      <right style="hair">
        <color theme="1"/>
      </right>
      <top style="hair">
        <color theme="1"/>
      </top>
      <bottom/>
      <diagonal/>
    </border>
    <border>
      <left style="hair">
        <color theme="1"/>
      </left>
      <right style="hair">
        <color theme="1"/>
      </right>
      <top/>
      <bottom/>
      <diagonal/>
    </border>
    <border>
      <left/>
      <right/>
      <top/>
      <bottom style="thin">
        <color theme="1"/>
      </bottom>
      <diagonal/>
    </border>
    <border>
      <left style="hair">
        <color theme="1"/>
      </left>
      <right style="hair">
        <color theme="1"/>
      </right>
      <top style="hair">
        <color theme="1"/>
      </top>
      <bottom style="hair">
        <color indexed="64"/>
      </bottom>
      <diagonal/>
    </border>
    <border>
      <left/>
      <right style="medium">
        <color indexed="64"/>
      </right>
      <top style="thin">
        <color theme="0"/>
      </top>
      <bottom style="thin">
        <color theme="0"/>
      </bottom>
      <diagonal/>
    </border>
    <border>
      <left style="thin">
        <color theme="0"/>
      </left>
      <right style="medium">
        <color indexed="64"/>
      </right>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medium">
        <color indexed="64"/>
      </left>
      <right style="hair">
        <color theme="0"/>
      </right>
      <top/>
      <bottom style="hair">
        <color theme="0"/>
      </bottom>
      <diagonal/>
    </border>
    <border>
      <left style="medium">
        <color indexed="64"/>
      </left>
      <right/>
      <top style="hair">
        <color theme="0"/>
      </top>
      <bottom style="hair">
        <color theme="0"/>
      </bottom>
      <diagonal/>
    </border>
    <border>
      <left style="medium">
        <color indexed="64"/>
      </left>
      <right style="hair">
        <color theme="0"/>
      </right>
      <top style="hair">
        <color theme="0"/>
      </top>
      <bottom/>
      <diagonal/>
    </border>
    <border>
      <left style="medium">
        <color indexed="64"/>
      </left>
      <right style="hair">
        <color theme="0"/>
      </right>
      <top style="hair">
        <color theme="0"/>
      </top>
      <bottom style="hair">
        <color theme="0"/>
      </bottom>
      <diagonal/>
    </border>
    <border>
      <left style="medium">
        <color indexed="64"/>
      </left>
      <right style="thin">
        <color theme="0"/>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medium">
        <color theme="1"/>
      </bottom>
      <diagonal/>
    </border>
    <border>
      <left style="medium">
        <color theme="1"/>
      </left>
      <right style="thin">
        <color theme="0"/>
      </right>
      <top style="medium">
        <color indexed="64"/>
      </top>
      <bottom style="medium">
        <color theme="1"/>
      </bottom>
      <diagonal/>
    </border>
    <border>
      <left style="thin">
        <color theme="0"/>
      </left>
      <right style="thin">
        <color theme="0"/>
      </right>
      <top style="medium">
        <color indexed="64"/>
      </top>
      <bottom style="medium">
        <color theme="1"/>
      </bottom>
      <diagonal/>
    </border>
    <border>
      <left/>
      <right/>
      <top style="medium">
        <color indexed="64"/>
      </top>
      <bottom style="medium">
        <color theme="1"/>
      </bottom>
      <diagonal/>
    </border>
    <border>
      <left style="medium">
        <color theme="1"/>
      </left>
      <right style="medium">
        <color theme="1"/>
      </right>
      <top style="medium">
        <color indexed="64"/>
      </top>
      <bottom style="medium">
        <color theme="1"/>
      </bottom>
      <diagonal/>
    </border>
    <border>
      <left/>
      <right style="medium">
        <color indexed="64"/>
      </right>
      <top style="medium">
        <color indexed="64"/>
      </top>
      <bottom style="medium">
        <color theme="1"/>
      </bottom>
      <diagonal/>
    </border>
    <border>
      <left style="thin">
        <color theme="1"/>
      </left>
      <right style="medium">
        <color indexed="64"/>
      </right>
      <top/>
      <bottom style="thin">
        <color theme="1"/>
      </bottom>
      <diagonal/>
    </border>
    <border>
      <left style="medium">
        <color indexed="64"/>
      </left>
      <right style="thin">
        <color theme="0"/>
      </right>
      <top/>
      <bottom style="thin">
        <color theme="0"/>
      </bottom>
      <diagonal/>
    </border>
    <border>
      <left style="medium">
        <color indexed="64"/>
      </left>
      <right style="thin">
        <color theme="0"/>
      </right>
      <top style="thin">
        <color theme="0"/>
      </top>
      <bottom/>
      <diagonal/>
    </border>
    <border>
      <left/>
      <right/>
      <top style="thin">
        <color theme="1"/>
      </top>
      <bottom/>
      <diagonal/>
    </border>
    <border>
      <left style="medium">
        <color indexed="64"/>
      </left>
      <right style="thin">
        <color theme="1"/>
      </right>
      <top style="medium">
        <color theme="1"/>
      </top>
      <bottom style="thin">
        <color theme="1"/>
      </bottom>
      <diagonal/>
    </border>
    <border>
      <left style="thin">
        <color theme="1"/>
      </left>
      <right style="medium">
        <color indexed="64"/>
      </right>
      <top style="medium">
        <color theme="1"/>
      </top>
      <bottom style="thin">
        <color theme="1"/>
      </bottom>
      <diagonal/>
    </border>
    <border>
      <left style="thin">
        <color theme="0"/>
      </left>
      <right style="medium">
        <color indexed="64"/>
      </right>
      <top/>
      <bottom/>
      <diagonal/>
    </border>
    <border>
      <left style="medium">
        <color indexed="64"/>
      </left>
      <right/>
      <top style="thin">
        <color theme="1"/>
      </top>
      <bottom style="thin">
        <color theme="1"/>
      </bottom>
      <diagonal/>
    </border>
    <border>
      <left style="medium">
        <color indexed="64"/>
      </left>
      <right/>
      <top style="medium">
        <color indexed="64"/>
      </top>
      <bottom/>
      <diagonal/>
    </border>
    <border>
      <left style="medium">
        <color theme="1"/>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style="thin">
        <color theme="1"/>
      </right>
      <top style="thin">
        <color theme="1"/>
      </top>
      <bottom/>
      <diagonal/>
    </border>
    <border>
      <left/>
      <right style="medium">
        <color indexed="64"/>
      </right>
      <top style="thin">
        <color indexed="64"/>
      </top>
      <bottom/>
      <diagonal/>
    </border>
    <border>
      <left/>
      <right style="hair">
        <color theme="0"/>
      </right>
      <top/>
      <bottom style="hair">
        <color theme="0"/>
      </bottom>
      <diagonal/>
    </border>
    <border>
      <left style="thin">
        <color indexed="64"/>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bottom style="thin">
        <color theme="1"/>
      </bottom>
      <diagonal/>
    </border>
    <border>
      <left style="medium">
        <color indexed="64"/>
      </left>
      <right/>
      <top style="thin">
        <color theme="1"/>
      </top>
      <bottom/>
      <diagonal/>
    </border>
    <border>
      <left style="hair">
        <color theme="0"/>
      </left>
      <right style="medium">
        <color indexed="64"/>
      </right>
      <top/>
      <bottom style="hair">
        <color theme="0"/>
      </bottom>
      <diagonal/>
    </border>
    <border>
      <left style="hair">
        <color theme="0"/>
      </left>
      <right style="medium">
        <color indexed="64"/>
      </right>
      <top style="hair">
        <color theme="0"/>
      </top>
      <bottom style="hair">
        <color theme="0"/>
      </bottom>
      <diagonal/>
    </border>
    <border>
      <left style="hair">
        <color theme="0"/>
      </left>
      <right style="medium">
        <color indexed="64"/>
      </right>
      <top style="hair">
        <color theme="0"/>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theme="1"/>
      </top>
      <bottom style="thin">
        <color indexed="64"/>
      </bottom>
      <diagonal/>
    </border>
    <border>
      <left/>
      <right style="medium">
        <color indexed="64"/>
      </right>
      <top style="thin">
        <color theme="1"/>
      </top>
      <bottom style="thin">
        <color theme="1"/>
      </bottom>
      <diagonal/>
    </border>
    <border>
      <left style="thin">
        <color indexed="64"/>
      </left>
      <right/>
      <top style="medium">
        <color theme="1"/>
      </top>
      <bottom style="thin">
        <color theme="1"/>
      </bottom>
      <diagonal/>
    </border>
    <border>
      <left/>
      <right/>
      <top style="medium">
        <color theme="1"/>
      </top>
      <bottom style="thin">
        <color theme="1"/>
      </bottom>
      <diagonal/>
    </border>
    <border>
      <left/>
      <right style="thin">
        <color indexed="64"/>
      </right>
      <top style="medium">
        <color theme="1"/>
      </top>
      <bottom style="thin">
        <color theme="1"/>
      </bottom>
      <diagonal/>
    </border>
    <border>
      <left style="hair">
        <color theme="1"/>
      </left>
      <right style="thin">
        <color theme="0"/>
      </right>
      <top style="thin">
        <color theme="0"/>
      </top>
      <bottom/>
      <diagonal/>
    </border>
    <border>
      <left style="hair">
        <color theme="1"/>
      </left>
      <right style="thin">
        <color theme="0"/>
      </right>
      <top/>
      <bottom style="thin">
        <color theme="0"/>
      </bottom>
      <diagonal/>
    </border>
    <border>
      <left/>
      <right/>
      <top style="medium">
        <color theme="1"/>
      </top>
      <bottom style="thin">
        <color indexed="64"/>
      </bottom>
      <diagonal/>
    </border>
    <border>
      <left/>
      <right style="medium">
        <color indexed="64"/>
      </right>
      <top/>
      <bottom style="thin">
        <color theme="1"/>
      </bottom>
      <diagonal/>
    </border>
    <border>
      <left style="medium">
        <color indexed="64"/>
      </left>
      <right/>
      <top/>
      <bottom style="hair">
        <color theme="0"/>
      </bottom>
      <diagonal/>
    </border>
    <border>
      <left/>
      <right style="medium">
        <color indexed="64"/>
      </right>
      <top style="thin">
        <color theme="1"/>
      </top>
      <bottom/>
      <diagonal/>
    </border>
    <border>
      <left/>
      <right/>
      <top style="hair">
        <color theme="0"/>
      </top>
      <bottom style="hair">
        <color theme="0"/>
      </bottom>
      <diagonal/>
    </border>
    <border>
      <left/>
      <right style="medium">
        <color indexed="64"/>
      </right>
      <top style="hair">
        <color theme="0"/>
      </top>
      <bottom style="hair">
        <color theme="0"/>
      </bottom>
      <diagonal/>
    </border>
    <border>
      <left style="medium">
        <color indexed="64"/>
      </left>
      <right style="hair">
        <color theme="0"/>
      </right>
      <top/>
      <bottom/>
      <diagonal/>
    </border>
    <border>
      <left style="hair">
        <color theme="0"/>
      </left>
      <right style="medium">
        <color indexed="64"/>
      </right>
      <top/>
      <bottom/>
      <diagonal/>
    </border>
    <border>
      <left style="thin">
        <color indexed="64"/>
      </left>
      <right/>
      <top style="medium">
        <color indexed="64"/>
      </top>
      <bottom style="medium">
        <color indexed="64"/>
      </bottom>
      <diagonal/>
    </border>
    <border>
      <left/>
      <right style="thin">
        <color theme="1"/>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theme="1"/>
      </right>
      <top/>
      <bottom style="thin">
        <color theme="1"/>
      </bottom>
      <diagonal/>
    </border>
    <border>
      <left/>
      <right style="thin">
        <color theme="1"/>
      </right>
      <top style="thin">
        <color theme="1"/>
      </top>
      <bottom/>
      <diagonal/>
    </border>
    <border>
      <left/>
      <right style="medium">
        <color indexed="64"/>
      </right>
      <top/>
      <bottom style="medium">
        <color indexed="64"/>
      </bottom>
      <diagonal/>
    </border>
    <border>
      <left style="thin">
        <color theme="1"/>
      </left>
      <right style="thin">
        <color theme="1"/>
      </right>
      <top/>
      <bottom/>
      <diagonal/>
    </border>
    <border>
      <left/>
      <right style="thin">
        <color indexed="64"/>
      </right>
      <top style="medium">
        <color indexed="64"/>
      </top>
      <bottom style="medium">
        <color indexed="64"/>
      </bottom>
      <diagonal/>
    </border>
    <border>
      <left style="medium">
        <color indexed="64"/>
      </left>
      <right style="thin">
        <color theme="1"/>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indexed="64"/>
      </left>
      <right style="medium">
        <color indexed="64"/>
      </right>
      <top style="thin">
        <color indexed="64"/>
      </top>
      <bottom/>
      <diagonal/>
    </border>
    <border>
      <left style="thin">
        <color theme="0"/>
      </left>
      <right style="thin">
        <color theme="0"/>
      </right>
      <top style="hair">
        <color indexed="64"/>
      </top>
      <bottom style="thin">
        <color theme="1"/>
      </bottom>
      <diagonal/>
    </border>
    <border>
      <left style="thin">
        <color theme="0"/>
      </left>
      <right/>
      <top style="thin">
        <color theme="1"/>
      </top>
      <bottom style="thin">
        <color theme="0"/>
      </bottom>
      <diagonal/>
    </border>
    <border>
      <left style="thin">
        <color theme="0"/>
      </left>
      <right/>
      <top/>
      <bottom style="thin">
        <color theme="0"/>
      </bottom>
      <diagonal/>
    </border>
    <border>
      <left style="thin">
        <color theme="0"/>
      </left>
      <right/>
      <top style="thin">
        <color theme="0"/>
      </top>
      <bottom/>
      <diagonal/>
    </border>
    <border>
      <left style="hair">
        <color theme="0"/>
      </left>
      <right/>
      <top style="hair">
        <color theme="0"/>
      </top>
      <bottom/>
      <diagonal/>
    </border>
    <border>
      <left/>
      <right style="hair">
        <color theme="0"/>
      </right>
      <top style="hair">
        <color theme="0"/>
      </top>
      <bottom/>
      <diagonal/>
    </border>
    <border>
      <left style="thin">
        <color theme="0"/>
      </left>
      <right style="thin">
        <color theme="0"/>
      </right>
      <top style="hair">
        <color indexed="64"/>
      </top>
      <bottom style="thin">
        <color theme="0"/>
      </bottom>
      <diagonal/>
    </border>
    <border>
      <left style="thin">
        <color theme="0"/>
      </left>
      <right style="thin">
        <color theme="0"/>
      </right>
      <top style="thin">
        <color indexed="64"/>
      </top>
      <bottom style="hair">
        <color indexed="64"/>
      </bottom>
      <diagonal/>
    </border>
    <border>
      <left style="hair">
        <color indexed="64"/>
      </left>
      <right/>
      <top style="hair">
        <color indexed="64"/>
      </top>
      <bottom style="hair">
        <color theme="1"/>
      </bottom>
      <diagonal/>
    </border>
    <border>
      <left style="hair">
        <color indexed="64"/>
      </left>
      <right/>
      <top style="hair">
        <color theme="1"/>
      </top>
      <bottom style="hair">
        <color theme="1"/>
      </bottom>
      <diagonal/>
    </border>
    <border>
      <left/>
      <right/>
      <top style="hair">
        <color theme="1"/>
      </top>
      <bottom style="hair">
        <color theme="1"/>
      </bottom>
      <diagonal/>
    </border>
    <border>
      <left/>
      <right/>
      <top style="hair">
        <color theme="1"/>
      </top>
      <bottom/>
      <diagonal/>
    </border>
    <border>
      <left/>
      <right style="medium">
        <color indexed="64"/>
      </right>
      <top style="thin">
        <color theme="0"/>
      </top>
      <bottom/>
      <diagonal/>
    </border>
    <border>
      <left style="medium">
        <color indexed="64"/>
      </left>
      <right style="thin">
        <color theme="0"/>
      </right>
      <top style="thin">
        <color indexed="64"/>
      </top>
      <bottom style="thin">
        <color theme="0"/>
      </bottom>
      <diagonal/>
    </border>
    <border>
      <left style="hair">
        <color theme="0"/>
      </left>
      <right/>
      <top/>
      <bottom style="hair">
        <color theme="0"/>
      </bottom>
      <diagonal/>
    </border>
    <border>
      <left/>
      <right/>
      <top/>
      <bottom style="hair">
        <color theme="0"/>
      </bottom>
      <diagonal/>
    </border>
    <border>
      <left/>
      <right/>
      <top style="thin">
        <color indexed="64"/>
      </top>
      <bottom style="thin">
        <color theme="0"/>
      </bottom>
      <diagonal/>
    </border>
    <border>
      <left style="thin">
        <color theme="0"/>
      </left>
      <right/>
      <top style="thin">
        <color indexed="64"/>
      </top>
      <bottom style="thin">
        <color theme="0"/>
      </bottom>
      <diagonal/>
    </border>
    <border>
      <left style="hair">
        <color theme="0"/>
      </left>
      <right style="thin">
        <color indexed="64"/>
      </right>
      <top style="thin">
        <color theme="0"/>
      </top>
      <bottom style="hair">
        <color theme="0"/>
      </bottom>
      <diagonal/>
    </border>
    <border>
      <left style="medium">
        <color indexed="64"/>
      </left>
      <right style="thin">
        <color indexed="64"/>
      </right>
      <top style="thin">
        <color theme="1"/>
      </top>
      <bottom style="thin">
        <color theme="1"/>
      </bottom>
      <diagonal/>
    </border>
    <border>
      <left style="hair">
        <color indexed="64"/>
      </left>
      <right style="thin">
        <color theme="0"/>
      </right>
      <top style="thin">
        <color theme="0"/>
      </top>
      <bottom style="hair">
        <color theme="0"/>
      </bottom>
      <diagonal/>
    </border>
    <border>
      <left style="hair">
        <color indexed="64"/>
      </left>
      <right style="thin">
        <color theme="0"/>
      </right>
      <top style="hair">
        <color theme="0"/>
      </top>
      <bottom style="thin">
        <color theme="0"/>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0"/>
      </left>
      <right style="thin">
        <color theme="0"/>
      </right>
      <top style="hair">
        <color theme="0"/>
      </top>
      <bottom style="thin">
        <color theme="0"/>
      </bottom>
      <diagonal/>
    </border>
    <border>
      <left style="thin">
        <color theme="0"/>
      </left>
      <right style="medium">
        <color indexed="64"/>
      </right>
      <top style="medium">
        <color indexed="64"/>
      </top>
      <bottom style="medium">
        <color theme="1"/>
      </bottom>
      <diagonal/>
    </border>
    <border>
      <left style="medium">
        <color indexed="64"/>
      </left>
      <right style="thin">
        <color theme="0"/>
      </right>
      <top/>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hair">
        <color theme="0"/>
      </left>
      <right style="medium">
        <color indexed="64"/>
      </right>
      <top style="thin">
        <color theme="0"/>
      </top>
      <bottom style="thin">
        <color theme="0"/>
      </bottom>
      <diagonal/>
    </border>
    <border>
      <left style="medium">
        <color theme="1"/>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theme="1"/>
      </right>
      <top style="medium">
        <color indexed="64"/>
      </top>
      <bottom/>
      <diagonal/>
    </border>
    <border>
      <left style="medium">
        <color theme="1"/>
      </left>
      <right style="medium">
        <color theme="1"/>
      </right>
      <top style="medium">
        <color indexed="64"/>
      </top>
      <bottom/>
      <diagonal/>
    </border>
    <border>
      <left style="medium">
        <color indexed="64"/>
      </left>
      <right style="thin">
        <color theme="0"/>
      </right>
      <top style="medium">
        <color indexed="64"/>
      </top>
      <bottom style="medium">
        <color theme="1"/>
      </bottom>
      <diagonal/>
    </border>
    <border>
      <left style="medium">
        <color indexed="64"/>
      </left>
      <right style="hair">
        <color indexed="64"/>
      </right>
      <top style="thin">
        <color theme="0"/>
      </top>
      <bottom style="thin">
        <color theme="0"/>
      </bottom>
      <diagonal/>
    </border>
    <border>
      <left style="medium">
        <color theme="1"/>
      </left>
      <right style="thin">
        <color theme="0"/>
      </right>
      <top style="medium">
        <color theme="1"/>
      </top>
      <bottom/>
      <diagonal/>
    </border>
    <border>
      <left style="thin">
        <color theme="0"/>
      </left>
      <right style="thin">
        <color theme="0"/>
      </right>
      <top style="medium">
        <color theme="1"/>
      </top>
      <bottom/>
      <diagonal/>
    </border>
    <border>
      <left style="thin">
        <color theme="0"/>
      </left>
      <right style="medium">
        <color theme="1"/>
      </right>
      <top style="medium">
        <color theme="1"/>
      </top>
      <bottom/>
      <diagonal/>
    </border>
    <border>
      <left style="medium">
        <color theme="1"/>
      </left>
      <right style="medium">
        <color theme="1"/>
      </right>
      <top style="medium">
        <color theme="1"/>
      </top>
      <bottom/>
      <diagonal/>
    </border>
    <border>
      <left style="medium">
        <color indexed="64"/>
      </left>
      <right style="hair">
        <color theme="0"/>
      </right>
      <top style="hair">
        <color theme="0"/>
      </top>
      <bottom style="medium">
        <color indexed="64"/>
      </bottom>
      <diagonal/>
    </border>
    <border>
      <left style="hair">
        <color theme="0"/>
      </left>
      <right style="hair">
        <color theme="0"/>
      </right>
      <top style="hair">
        <color theme="0"/>
      </top>
      <bottom style="medium">
        <color indexed="64"/>
      </bottom>
      <diagonal/>
    </border>
    <border>
      <left style="hair">
        <color theme="0"/>
      </left>
      <right style="medium">
        <color indexed="64"/>
      </right>
      <top style="hair">
        <color theme="0"/>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theme="1"/>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style="medium">
        <color theme="1"/>
      </right>
      <top style="medium">
        <color indexed="64"/>
      </top>
      <bottom style="medium">
        <color theme="1"/>
      </bottom>
      <diagonal/>
    </border>
    <border>
      <left style="medium">
        <color indexed="64"/>
      </left>
      <right style="thin">
        <color theme="1"/>
      </right>
      <top style="medium">
        <color theme="1"/>
      </top>
      <bottom style="medium">
        <color theme="1"/>
      </bottom>
      <diagonal/>
    </border>
    <border>
      <left style="thin">
        <color theme="1"/>
      </left>
      <right style="medium">
        <color indexed="64"/>
      </right>
      <top style="medium">
        <color theme="1"/>
      </top>
      <bottom style="medium">
        <color theme="1"/>
      </bottom>
      <diagonal/>
    </border>
    <border>
      <left style="medium">
        <color indexed="64"/>
      </left>
      <right/>
      <top/>
      <bottom style="thin">
        <color theme="0"/>
      </bottom>
      <diagonal/>
    </border>
    <border>
      <left style="medium">
        <color indexed="64"/>
      </left>
      <right/>
      <top style="thin">
        <color theme="0"/>
      </top>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theme="1"/>
      </top>
      <bottom/>
      <diagonal/>
    </border>
    <border>
      <left style="thin">
        <color theme="0"/>
      </left>
      <right/>
      <top style="hair">
        <color indexed="64"/>
      </top>
      <bottom style="thin">
        <color theme="0"/>
      </bottom>
      <diagonal/>
    </border>
    <border>
      <left style="medium">
        <color theme="1"/>
      </left>
      <right style="hair">
        <color theme="1"/>
      </right>
      <top style="medium">
        <color indexed="64"/>
      </top>
      <bottom style="medium">
        <color theme="1"/>
      </bottom>
      <diagonal/>
    </border>
    <border>
      <left style="hair">
        <color theme="1"/>
      </left>
      <right style="hair">
        <color theme="1"/>
      </right>
      <top style="medium">
        <color indexed="64"/>
      </top>
      <bottom style="medium">
        <color theme="1"/>
      </bottom>
      <diagonal/>
    </border>
    <border>
      <left style="hair">
        <color theme="1"/>
      </left>
      <right style="medium">
        <color theme="1"/>
      </right>
      <top style="medium">
        <color indexed="64"/>
      </top>
      <bottom style="medium">
        <color theme="1"/>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theme="1"/>
      </top>
      <bottom style="thin">
        <color indexed="64"/>
      </bottom>
      <diagonal/>
    </border>
    <border>
      <left style="thin">
        <color theme="0"/>
      </left>
      <right style="thin">
        <color theme="0"/>
      </right>
      <top style="thin">
        <color indexed="64"/>
      </top>
      <bottom style="thin">
        <color theme="1"/>
      </bottom>
      <diagonal/>
    </border>
    <border>
      <left style="thin">
        <color theme="0"/>
      </left>
      <right/>
      <top style="thin">
        <color theme="1"/>
      </top>
      <bottom/>
      <diagonal/>
    </border>
    <border>
      <left style="thin">
        <color theme="0"/>
      </left>
      <right style="thin">
        <color theme="0"/>
      </right>
      <top style="thin">
        <color theme="1"/>
      </top>
      <bottom/>
      <diagonal/>
    </border>
    <border>
      <left style="thin">
        <color theme="0"/>
      </left>
      <right style="thin">
        <color indexed="64"/>
      </right>
      <top style="thin">
        <color theme="0"/>
      </top>
      <bottom style="thin">
        <color theme="0"/>
      </bottom>
      <diagonal/>
    </border>
    <border>
      <left/>
      <right style="thin">
        <color theme="0"/>
      </right>
      <top style="thin">
        <color indexed="64"/>
      </top>
      <bottom style="thin">
        <color theme="0"/>
      </bottom>
      <diagonal/>
    </border>
    <border>
      <left style="thin">
        <color theme="0"/>
      </left>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indexed="64"/>
      </top>
      <bottom style="thin">
        <color theme="1"/>
      </bottom>
      <diagonal/>
    </border>
    <border>
      <left/>
      <right/>
      <top/>
      <bottom style="thin">
        <color theme="0"/>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medium">
        <color indexed="64"/>
      </top>
      <bottom style="thin">
        <color theme="1"/>
      </bottom>
      <diagonal/>
    </border>
    <border>
      <left style="thin">
        <color indexed="64"/>
      </left>
      <right style="thin">
        <color theme="1"/>
      </right>
      <top/>
      <bottom style="thin">
        <color indexed="64"/>
      </bottom>
      <diagonal/>
    </border>
    <border>
      <left style="thin">
        <color theme="0"/>
      </left>
      <right style="thin">
        <color theme="0"/>
      </right>
      <top style="thin">
        <color theme="1"/>
      </top>
      <bottom style="thin">
        <color indexed="64"/>
      </bottom>
      <diagonal/>
    </border>
    <border>
      <left style="thin">
        <color theme="1"/>
      </left>
      <right style="thin">
        <color indexed="64"/>
      </right>
      <top style="thin">
        <color theme="1"/>
      </top>
      <bottom style="thin">
        <color theme="1"/>
      </bottom>
      <diagonal/>
    </border>
    <border>
      <left style="medium">
        <color indexed="64"/>
      </left>
      <right style="thin">
        <color theme="1"/>
      </right>
      <top style="thin">
        <color indexed="64"/>
      </top>
      <bottom style="thin">
        <color indexed="64"/>
      </bottom>
      <diagonal/>
    </border>
    <border>
      <left style="thin">
        <color theme="0"/>
      </left>
      <right style="thin">
        <color indexed="64"/>
      </right>
      <top style="thin">
        <color theme="1"/>
      </top>
      <bottom style="thin">
        <color theme="0"/>
      </bottom>
      <diagonal/>
    </border>
    <border>
      <left/>
      <right/>
      <top style="thin">
        <color theme="0"/>
      </top>
      <bottom style="medium">
        <color indexed="64"/>
      </bottom>
      <diagonal/>
    </border>
    <border>
      <left style="thin">
        <color theme="0"/>
      </left>
      <right/>
      <top style="thin">
        <color indexed="64"/>
      </top>
      <bottom/>
      <diagonal/>
    </border>
    <border>
      <left style="hair">
        <color theme="0"/>
      </left>
      <right/>
      <top style="thin">
        <color theme="0"/>
      </top>
      <bottom style="hair">
        <color theme="0"/>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medium">
        <color indexed="64"/>
      </left>
      <right style="thin">
        <color indexed="64"/>
      </right>
      <top style="thin">
        <color indexed="64"/>
      </top>
      <bottom style="thin">
        <color theme="1"/>
      </bottom>
      <diagonal/>
    </border>
    <border>
      <left style="medium">
        <color indexed="64"/>
      </left>
      <right style="hair">
        <color theme="0"/>
      </right>
      <top style="thin">
        <color theme="1"/>
      </top>
      <bottom style="hair">
        <color theme="0"/>
      </bottom>
      <diagonal/>
    </border>
    <border>
      <left style="thin">
        <color theme="1"/>
      </left>
      <right style="medium">
        <color indexed="64"/>
      </right>
      <top style="thin">
        <color theme="1"/>
      </top>
      <bottom/>
      <diagonal/>
    </border>
    <border>
      <left style="thin">
        <color indexed="64"/>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thin">
        <color theme="1"/>
      </left>
      <right style="medium">
        <color indexed="64"/>
      </right>
      <top/>
      <bottom/>
      <diagonal/>
    </border>
    <border>
      <left style="medium">
        <color indexed="64"/>
      </left>
      <right style="thin">
        <color theme="0"/>
      </right>
      <top style="thin">
        <color indexed="64"/>
      </top>
      <bottom style="thin">
        <color indexed="64"/>
      </bottom>
      <diagonal/>
    </border>
    <border>
      <left style="medium">
        <color indexed="64"/>
      </left>
      <right style="hair">
        <color theme="0"/>
      </right>
      <top/>
      <bottom style="thin">
        <color theme="1"/>
      </bottom>
      <diagonal/>
    </border>
    <border>
      <left style="thin">
        <color indexed="64"/>
      </left>
      <right style="medium">
        <color indexed="64"/>
      </right>
      <top style="thin">
        <color theme="0"/>
      </top>
      <bottom style="thin">
        <color theme="1"/>
      </bottom>
      <diagonal/>
    </border>
    <border>
      <left style="thin">
        <color theme="0"/>
      </left>
      <right style="medium">
        <color indexed="64"/>
      </right>
      <top style="thin">
        <color theme="1"/>
      </top>
      <bottom style="thin">
        <color theme="1"/>
      </bottom>
      <diagonal/>
    </border>
    <border>
      <left style="medium">
        <color indexed="64"/>
      </left>
      <right style="hair">
        <color theme="0"/>
      </right>
      <top style="thin">
        <color indexed="64"/>
      </top>
      <bottom style="hair">
        <color theme="0"/>
      </bottom>
      <diagonal/>
    </border>
    <border>
      <left style="thin">
        <color indexed="64"/>
      </left>
      <right style="medium">
        <color indexed="64"/>
      </right>
      <top style="thin">
        <color indexed="64"/>
      </top>
      <bottom style="thin">
        <color theme="0"/>
      </bottom>
      <diagonal/>
    </border>
    <border>
      <left style="medium">
        <color indexed="64"/>
      </left>
      <right style="hair">
        <color theme="0"/>
      </right>
      <top/>
      <bottom style="thin">
        <color indexed="64"/>
      </bottom>
      <diagonal/>
    </border>
    <border>
      <left style="thin">
        <color theme="1"/>
      </left>
      <right style="medium">
        <color indexed="64"/>
      </right>
      <top style="thin">
        <color theme="1"/>
      </top>
      <bottom style="thin">
        <color theme="0"/>
      </bottom>
      <diagonal/>
    </border>
    <border>
      <left style="medium">
        <color indexed="64"/>
      </left>
      <right style="thin">
        <color theme="0"/>
      </right>
      <top style="thin">
        <color theme="0"/>
      </top>
      <bottom style="hair">
        <color theme="0"/>
      </bottom>
      <diagonal/>
    </border>
    <border>
      <left style="thin">
        <color theme="1"/>
      </left>
      <right style="medium">
        <color indexed="64"/>
      </right>
      <top style="thin">
        <color theme="0"/>
      </top>
      <bottom style="thin">
        <color theme="0"/>
      </bottom>
      <diagonal/>
    </border>
    <border>
      <left style="thin">
        <color theme="1"/>
      </left>
      <right style="medium">
        <color indexed="64"/>
      </right>
      <top style="thin">
        <color theme="0"/>
      </top>
      <bottom/>
      <diagonal/>
    </border>
    <border>
      <left style="thin">
        <color theme="1"/>
      </left>
      <right style="medium">
        <color indexed="64"/>
      </right>
      <top style="thin">
        <color theme="0"/>
      </top>
      <bottom style="thin">
        <color theme="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theme="1"/>
      </top>
      <bottom style="thin">
        <color theme="1"/>
      </bottom>
      <diagonal/>
    </border>
    <border>
      <left style="medium">
        <color indexed="64"/>
      </left>
      <right style="thin">
        <color theme="0"/>
      </right>
      <top style="thin">
        <color indexed="64"/>
      </top>
      <bottom style="hair">
        <color theme="0"/>
      </bottom>
      <diagonal/>
    </border>
    <border>
      <left style="medium">
        <color indexed="64"/>
      </left>
      <right style="thin">
        <color theme="0"/>
      </right>
      <top/>
      <bottom style="hair">
        <color theme="0"/>
      </bottom>
      <diagonal/>
    </border>
    <border>
      <left style="medium">
        <color indexed="64"/>
      </left>
      <right style="thin">
        <color theme="0"/>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theme="0"/>
      </top>
      <bottom style="medium">
        <color indexed="64"/>
      </bottom>
      <diagonal/>
    </border>
    <border>
      <left style="thin">
        <color theme="0"/>
      </left>
      <right/>
      <top/>
      <bottom style="medium">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hair">
        <color theme="0"/>
      </left>
      <right style="thin">
        <color theme="0"/>
      </right>
      <top style="hair">
        <color theme="0"/>
      </top>
      <bottom style="thin">
        <color indexed="64"/>
      </bottom>
      <diagonal/>
    </border>
    <border>
      <left/>
      <right style="thin">
        <color theme="0"/>
      </right>
      <top style="thin">
        <color indexed="64"/>
      </top>
      <bottom/>
      <diagonal/>
    </border>
    <border>
      <left style="thin">
        <color theme="0"/>
      </left>
      <right/>
      <top style="thin">
        <color theme="0"/>
      </top>
      <bottom style="thin">
        <color theme="1"/>
      </bottom>
      <diagonal/>
    </border>
    <border>
      <left/>
      <right/>
      <top style="thin">
        <color theme="0"/>
      </top>
      <bottom style="thin">
        <color theme="1"/>
      </bottom>
      <diagonal/>
    </border>
    <border>
      <left/>
      <right style="hair">
        <color theme="0"/>
      </right>
      <top style="thin">
        <color theme="0"/>
      </top>
      <bottom style="thin">
        <color theme="1"/>
      </bottom>
      <diagonal/>
    </border>
    <border>
      <left/>
      <right/>
      <top style="thin">
        <color theme="0"/>
      </top>
      <bottom/>
      <diagonal/>
    </border>
    <border>
      <left/>
      <right style="hair">
        <color theme="0"/>
      </right>
      <top style="thin">
        <color theme="0"/>
      </top>
      <bottom/>
      <diagonal/>
    </border>
    <border>
      <left/>
      <right style="hair">
        <color theme="0"/>
      </right>
      <top style="thin">
        <color theme="0"/>
      </top>
      <bottom style="thin">
        <color theme="0"/>
      </bottom>
      <diagonal/>
    </border>
    <border>
      <left/>
      <right style="thin">
        <color indexed="64"/>
      </right>
      <top style="thin">
        <color theme="0"/>
      </top>
      <bottom style="hair">
        <color theme="0"/>
      </bottom>
      <diagonal/>
    </border>
    <border>
      <left style="thin">
        <color theme="0"/>
      </left>
      <right style="thin">
        <color theme="1"/>
      </right>
      <top style="thin">
        <color theme="0"/>
      </top>
      <bottom style="thin">
        <color theme="1"/>
      </bottom>
      <diagonal/>
    </border>
    <border>
      <left style="thin">
        <color theme="0"/>
      </left>
      <right style="thin">
        <color theme="1"/>
      </right>
      <top style="thin">
        <color theme="1"/>
      </top>
      <bottom/>
      <diagonal/>
    </border>
    <border>
      <left style="thin">
        <color theme="1"/>
      </left>
      <right style="thin">
        <color theme="1"/>
      </right>
      <top style="thin">
        <color theme="0"/>
      </top>
      <bottom style="thin">
        <color theme="1"/>
      </bottom>
      <diagonal/>
    </border>
    <border>
      <left style="thin">
        <color theme="0"/>
      </left>
      <right style="thin">
        <color theme="1"/>
      </right>
      <top style="thin">
        <color theme="0"/>
      </top>
      <bottom style="thin">
        <color theme="0"/>
      </bottom>
      <diagonal/>
    </border>
    <border>
      <left style="thin">
        <color theme="1"/>
      </left>
      <right style="thin">
        <color theme="1"/>
      </right>
      <top style="thin">
        <color theme="0"/>
      </top>
      <bottom style="thin">
        <color theme="0"/>
      </bottom>
      <diagonal/>
    </border>
    <border>
      <left style="thin">
        <color theme="0"/>
      </left>
      <right style="thin">
        <color theme="1"/>
      </right>
      <top style="thin">
        <color theme="0"/>
      </top>
      <bottom/>
      <diagonal/>
    </border>
    <border>
      <left style="thin">
        <color theme="1"/>
      </left>
      <right style="thin">
        <color theme="1"/>
      </right>
      <top style="thin">
        <color theme="0"/>
      </top>
      <bottom/>
      <diagonal/>
    </border>
    <border>
      <left style="thin">
        <color theme="0"/>
      </left>
      <right style="thin">
        <color theme="1"/>
      </right>
      <top style="thin">
        <color indexed="64"/>
      </top>
      <bottom/>
      <diagonal/>
    </border>
    <border>
      <left style="thin">
        <color theme="1"/>
      </left>
      <right style="thin">
        <color theme="1"/>
      </right>
      <top style="thin">
        <color indexed="64"/>
      </top>
      <bottom/>
      <diagonal/>
    </border>
    <border>
      <left style="thin">
        <color theme="0"/>
      </left>
      <right style="thin">
        <color indexed="64"/>
      </right>
      <top style="thin">
        <color indexed="64"/>
      </top>
      <bottom style="thin">
        <color theme="0"/>
      </bottom>
      <diagonal/>
    </border>
    <border>
      <left style="thin">
        <color theme="1"/>
      </left>
      <right/>
      <top style="thin">
        <color indexed="64"/>
      </top>
      <bottom/>
      <diagonal/>
    </border>
    <border>
      <left style="thin">
        <color theme="1"/>
      </left>
      <right/>
      <top style="thin">
        <color theme="0"/>
      </top>
      <bottom style="thin">
        <color theme="0"/>
      </bottom>
      <diagonal/>
    </border>
    <border>
      <left style="thin">
        <color theme="1"/>
      </left>
      <right/>
      <top style="thin">
        <color theme="0"/>
      </top>
      <bottom/>
      <diagonal/>
    </border>
    <border>
      <left style="thin">
        <color theme="1"/>
      </left>
      <right style="thin">
        <color theme="0"/>
      </right>
      <top style="thin">
        <color theme="0"/>
      </top>
      <bottom style="thin">
        <color theme="1"/>
      </bottom>
      <diagonal/>
    </border>
    <border>
      <left style="thin">
        <color theme="0"/>
      </left>
      <right style="thin">
        <color theme="1"/>
      </right>
      <top style="thin">
        <color theme="1"/>
      </top>
      <bottom style="thin">
        <color theme="0"/>
      </bottom>
      <diagonal/>
    </border>
    <border>
      <left style="thin">
        <color theme="1"/>
      </left>
      <right style="thin">
        <color theme="1"/>
      </right>
      <top style="thin">
        <color theme="1"/>
      </top>
      <bottom style="thin">
        <color theme="0"/>
      </bottom>
      <diagonal/>
    </border>
    <border>
      <left style="thin">
        <color theme="1"/>
      </left>
      <right/>
      <top style="thin">
        <color theme="1"/>
      </top>
      <bottom style="thin">
        <color theme="0"/>
      </bottom>
      <diagonal/>
    </border>
    <border>
      <left style="thin">
        <color theme="0"/>
      </left>
      <right style="thin">
        <color indexed="64"/>
      </right>
      <top style="thin">
        <color theme="0"/>
      </top>
      <bottom style="thin">
        <color theme="1"/>
      </bottom>
      <diagonal/>
    </border>
    <border>
      <left style="thin">
        <color theme="0"/>
      </left>
      <right style="thin">
        <color theme="1"/>
      </right>
      <top style="thin">
        <color indexed="64"/>
      </top>
      <bottom style="thin">
        <color theme="0"/>
      </bottom>
      <diagonal/>
    </border>
    <border>
      <left style="thin">
        <color theme="1"/>
      </left>
      <right style="thin">
        <color theme="1"/>
      </right>
      <top style="thin">
        <color indexed="64"/>
      </top>
      <bottom style="thin">
        <color theme="0"/>
      </bottom>
      <diagonal/>
    </border>
    <border>
      <left style="thin">
        <color theme="0"/>
      </left>
      <right style="thin">
        <color indexed="64"/>
      </right>
      <top style="thin">
        <color indexed="64"/>
      </top>
      <bottom style="hair">
        <color theme="0"/>
      </bottom>
      <diagonal/>
    </border>
    <border>
      <left style="thin">
        <color theme="1"/>
      </left>
      <right/>
      <top style="thin">
        <color indexed="64"/>
      </top>
      <bottom style="thin">
        <color theme="0"/>
      </bottom>
      <diagonal/>
    </border>
    <border>
      <left style="thin">
        <color theme="0"/>
      </left>
      <right style="thin">
        <color indexed="64"/>
      </right>
      <top style="hair">
        <color theme="0"/>
      </top>
      <bottom style="thin">
        <color theme="1"/>
      </bottom>
      <diagonal/>
    </border>
    <border>
      <left style="thin">
        <color theme="1"/>
      </left>
      <right/>
      <top style="thin">
        <color theme="0"/>
      </top>
      <bottom style="thin">
        <color theme="1"/>
      </bottom>
      <diagonal/>
    </border>
    <border>
      <left style="thin">
        <color theme="1"/>
      </left>
      <right style="thin">
        <color indexed="64"/>
      </right>
      <top style="thin">
        <color theme="1"/>
      </top>
      <bottom/>
      <diagonal/>
    </border>
    <border>
      <left/>
      <right style="thin">
        <color indexed="64"/>
      </right>
      <top style="thin">
        <color theme="0"/>
      </top>
      <bottom style="thin">
        <color theme="0"/>
      </bottom>
      <diagonal/>
    </border>
    <border>
      <left style="thin">
        <color theme="0"/>
      </left>
      <right style="thin">
        <color theme="1"/>
      </right>
      <top style="thin">
        <color theme="0"/>
      </top>
      <bottom style="medium">
        <color indexed="64"/>
      </bottom>
      <diagonal/>
    </border>
    <border>
      <left style="thin">
        <color theme="1"/>
      </left>
      <right style="thin">
        <color theme="1"/>
      </right>
      <top style="thin">
        <color theme="0"/>
      </top>
      <bottom style="medium">
        <color indexed="64"/>
      </bottom>
      <diagonal/>
    </border>
    <border>
      <left style="thin">
        <color theme="1"/>
      </left>
      <right style="thin">
        <color theme="0"/>
      </right>
      <top style="thin">
        <color theme="0"/>
      </top>
      <bottom style="medium">
        <color indexed="64"/>
      </bottom>
      <diagonal/>
    </border>
    <border>
      <left/>
      <right style="thin">
        <color indexed="64"/>
      </right>
      <top/>
      <bottom style="thin">
        <color theme="0"/>
      </bottom>
      <diagonal/>
    </border>
    <border>
      <left style="thin">
        <color theme="0"/>
      </left>
      <right/>
      <top/>
      <bottom/>
      <diagonal/>
    </border>
    <border>
      <left/>
      <right style="medium">
        <color indexed="64"/>
      </right>
      <top/>
      <bottom style="thin">
        <color theme="0"/>
      </bottom>
      <diagonal/>
    </border>
    <border>
      <left style="medium">
        <color indexed="64"/>
      </left>
      <right style="thin">
        <color indexed="64"/>
      </right>
      <top/>
      <bottom/>
      <diagonal/>
    </border>
    <border>
      <left/>
      <right style="thin">
        <color indexed="64"/>
      </right>
      <top style="thin">
        <color indexed="64"/>
      </top>
      <bottom/>
      <diagonal/>
    </border>
  </borders>
  <cellStyleXfs count="5">
    <xf numFmtId="0" fontId="0" fillId="0" borderId="0"/>
    <xf numFmtId="165"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cellStyleXfs>
  <cellXfs count="1179">
    <xf numFmtId="0" fontId="0" fillId="0" borderId="0" xfId="0"/>
    <xf numFmtId="0" fontId="0" fillId="0" borderId="9" xfId="0" applyBorder="1" applyAlignment="1">
      <alignment horizontal="center" vertical="center"/>
    </xf>
    <xf numFmtId="0" fontId="0" fillId="0" borderId="10" xfId="0" applyBorder="1" applyAlignment="1">
      <alignment horizontal="center" vertical="center"/>
    </xf>
    <xf numFmtId="0" fontId="0" fillId="4" borderId="0" xfId="0" applyFill="1"/>
    <xf numFmtId="0" fontId="0" fillId="3" borderId="0" xfId="0" applyFill="1"/>
    <xf numFmtId="0" fontId="0" fillId="0" borderId="0" xfId="0" applyAlignment="1">
      <alignment horizontal="center" vertical="center"/>
    </xf>
    <xf numFmtId="2" fontId="0" fillId="0" borderId="0" xfId="0" applyNumberFormat="1"/>
    <xf numFmtId="165" fontId="0" fillId="0" borderId="0" xfId="1" applyFont="1"/>
    <xf numFmtId="0" fontId="0" fillId="0" borderId="35" xfId="0" applyBorder="1" applyAlignment="1">
      <alignment horizontal="center" vertical="center"/>
    </xf>
    <xf numFmtId="0" fontId="4" fillId="0" borderId="35" xfId="0" applyFont="1" applyBorder="1" applyAlignment="1">
      <alignment vertical="center" wrapText="1"/>
    </xf>
    <xf numFmtId="0" fontId="0" fillId="0" borderId="48" xfId="0" applyBorder="1" applyAlignment="1">
      <alignment horizontal="center" vertical="center"/>
    </xf>
    <xf numFmtId="0" fontId="0" fillId="0" borderId="48" xfId="0" applyBorder="1" applyAlignment="1">
      <alignment vertical="center"/>
    </xf>
    <xf numFmtId="0" fontId="0" fillId="0" borderId="49" xfId="0" applyBorder="1" applyAlignment="1">
      <alignment horizontal="center" vertical="center"/>
    </xf>
    <xf numFmtId="0" fontId="0" fillId="0" borderId="53" xfId="0"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3" xfId="0" applyFont="1" applyBorder="1" applyAlignment="1">
      <alignment vertical="center" wrapText="1"/>
    </xf>
    <xf numFmtId="0" fontId="0" fillId="0" borderId="48" xfId="0" applyBorder="1"/>
    <xf numFmtId="0" fontId="0" fillId="0" borderId="49" xfId="0" applyBorder="1"/>
    <xf numFmtId="0" fontId="0" fillId="0" borderId="59" xfId="0" applyBorder="1"/>
    <xf numFmtId="0" fontId="0" fillId="0" borderId="60" xfId="0" applyBorder="1"/>
    <xf numFmtId="0" fontId="0" fillId="0" borderId="61" xfId="0" applyBorder="1"/>
    <xf numFmtId="0" fontId="4" fillId="0" borderId="50" xfId="0" applyFont="1" applyBorder="1" applyAlignment="1">
      <alignment vertical="center" wrapText="1"/>
    </xf>
    <xf numFmtId="0" fontId="13" fillId="0" borderId="48" xfId="0" applyFont="1" applyBorder="1" applyAlignment="1">
      <alignment vertical="center" wrapText="1"/>
    </xf>
    <xf numFmtId="0" fontId="13" fillId="0" borderId="52"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49" xfId="0" applyFont="1" applyBorder="1"/>
    <xf numFmtId="0" fontId="0" fillId="0" borderId="52" xfId="0" applyBorder="1" applyAlignment="1">
      <alignment horizontal="center" vertical="center"/>
    </xf>
    <xf numFmtId="0" fontId="0" fillId="0" borderId="51" xfId="0" applyBorder="1"/>
    <xf numFmtId="0" fontId="0" fillId="0" borderId="50" xfId="0" applyBorder="1"/>
    <xf numFmtId="0" fontId="13" fillId="0" borderId="51" xfId="0" applyFont="1" applyBorder="1"/>
    <xf numFmtId="0" fontId="0" fillId="0" borderId="52" xfId="0" applyBorder="1"/>
    <xf numFmtId="0" fontId="0" fillId="0" borderId="35" xfId="0" applyBorder="1" applyAlignment="1">
      <alignment horizontal="center"/>
    </xf>
    <xf numFmtId="0" fontId="0" fillId="0" borderId="68" xfId="0" applyBorder="1" applyAlignment="1">
      <alignment horizontal="center" vertical="center"/>
    </xf>
    <xf numFmtId="0" fontId="4" fillId="0" borderId="35" xfId="0" applyFont="1" applyBorder="1" applyAlignment="1">
      <alignment horizontal="center" vertical="center"/>
    </xf>
    <xf numFmtId="0" fontId="13" fillId="0" borderId="52" xfId="0" applyFont="1" applyBorder="1"/>
    <xf numFmtId="0" fontId="5" fillId="3" borderId="46" xfId="0" applyFont="1" applyFill="1" applyBorder="1" applyAlignment="1">
      <alignment vertical="top"/>
    </xf>
    <xf numFmtId="0" fontId="5" fillId="3" borderId="47" xfId="0" applyFont="1" applyFill="1" applyBorder="1" applyAlignment="1">
      <alignment horizontal="center" vertical="top"/>
    </xf>
    <xf numFmtId="49" fontId="5" fillId="3" borderId="54" xfId="0" applyNumberFormat="1" applyFont="1" applyFill="1" applyBorder="1" applyAlignment="1">
      <alignment horizontal="center" vertical="top" wrapText="1"/>
    </xf>
    <xf numFmtId="0" fontId="0" fillId="0" borderId="53" xfId="0" applyBorder="1"/>
    <xf numFmtId="2" fontId="0" fillId="0" borderId="0" xfId="0" applyNumberFormat="1" applyAlignment="1">
      <alignment horizontal="center"/>
    </xf>
    <xf numFmtId="0" fontId="4" fillId="0" borderId="49" xfId="0" applyFont="1" applyBorder="1" applyAlignment="1">
      <alignment horizontal="center" vertical="center"/>
    </xf>
    <xf numFmtId="0" fontId="13" fillId="0" borderId="48" xfId="0" applyFont="1" applyBorder="1"/>
    <xf numFmtId="0" fontId="4" fillId="0" borderId="48" xfId="0" applyFont="1" applyBorder="1" applyAlignment="1">
      <alignment horizontal="left" vertical="center" wrapText="1"/>
    </xf>
    <xf numFmtId="0" fontId="4" fillId="0" borderId="48" xfId="0" applyFont="1" applyBorder="1" applyAlignment="1">
      <alignment horizontal="center" vertical="center"/>
    </xf>
    <xf numFmtId="0" fontId="4" fillId="0" borderId="48" xfId="0" applyFont="1" applyBorder="1" applyAlignment="1">
      <alignment horizontal="left"/>
    </xf>
    <xf numFmtId="0" fontId="13" fillId="0" borderId="53" xfId="0" applyFont="1" applyBorder="1"/>
    <xf numFmtId="0" fontId="4" fillId="0" borderId="49" xfId="0" applyFont="1" applyBorder="1"/>
    <xf numFmtId="0" fontId="4" fillId="0" borderId="49" xfId="0" applyFont="1" applyBorder="1" applyAlignment="1">
      <alignment horizontal="left"/>
    </xf>
    <xf numFmtId="0" fontId="4" fillId="0" borderId="53" xfId="0" applyFont="1" applyBorder="1"/>
    <xf numFmtId="0" fontId="4" fillId="0" borderId="53" xfId="0" applyFont="1" applyBorder="1" applyAlignment="1">
      <alignment horizontal="left"/>
    </xf>
    <xf numFmtId="0" fontId="4" fillId="0" borderId="53" xfId="0" applyFont="1" applyBorder="1" applyAlignment="1">
      <alignment horizontal="center" vertical="center"/>
    </xf>
    <xf numFmtId="0" fontId="4" fillId="0" borderId="49" xfId="0" applyFont="1" applyBorder="1" applyAlignment="1">
      <alignment horizontal="left" vertical="center" wrapText="1"/>
    </xf>
    <xf numFmtId="0" fontId="4" fillId="0" borderId="53" xfId="0" applyFont="1" applyBorder="1" applyAlignment="1">
      <alignment horizontal="left" vertical="center" wrapText="1"/>
    </xf>
    <xf numFmtId="0" fontId="4" fillId="0" borderId="53" xfId="0" applyFont="1" applyBorder="1" applyAlignment="1">
      <alignment horizontal="left" vertical="center"/>
    </xf>
    <xf numFmtId="0" fontId="4" fillId="0" borderId="49" xfId="0" applyFont="1" applyBorder="1" applyAlignment="1">
      <alignment horizontal="left" vertical="center"/>
    </xf>
    <xf numFmtId="0" fontId="4" fillId="0" borderId="41" xfId="0" applyFont="1" applyBorder="1" applyAlignment="1">
      <alignment vertical="center" wrapText="1"/>
    </xf>
    <xf numFmtId="0" fontId="4" fillId="0" borderId="52" xfId="0" applyFont="1" applyBorder="1" applyAlignment="1">
      <alignment horizontal="left" vertical="center" wrapText="1"/>
    </xf>
    <xf numFmtId="0" fontId="4" fillId="0" borderId="52" xfId="0" applyFont="1" applyBorder="1" applyAlignment="1">
      <alignment horizontal="left" vertical="center"/>
    </xf>
    <xf numFmtId="0" fontId="13" fillId="0" borderId="74" xfId="0" applyFont="1" applyBorder="1" applyAlignment="1">
      <alignment horizontal="left"/>
    </xf>
    <xf numFmtId="2" fontId="13" fillId="0" borderId="74" xfId="0" applyNumberFormat="1" applyFont="1" applyBorder="1" applyAlignment="1">
      <alignment horizontal="center"/>
    </xf>
    <xf numFmtId="2" fontId="0" fillId="0" borderId="74" xfId="0" applyNumberFormat="1" applyBorder="1" applyAlignment="1">
      <alignment horizontal="center" vertical="center"/>
    </xf>
    <xf numFmtId="0" fontId="13" fillId="0" borderId="74" xfId="0" applyFont="1" applyBorder="1" applyAlignment="1">
      <alignment wrapText="1"/>
    </xf>
    <xf numFmtId="0" fontId="13" fillId="0" borderId="74" xfId="0" applyFont="1" applyBorder="1" applyAlignment="1">
      <alignment horizontal="right"/>
    </xf>
    <xf numFmtId="2" fontId="13" fillId="0" borderId="74" xfId="0" applyNumberFormat="1" applyFont="1" applyBorder="1"/>
    <xf numFmtId="0" fontId="13" fillId="0" borderId="74" xfId="0" applyFont="1" applyBorder="1" applyAlignment="1">
      <alignment vertical="center" wrapText="1"/>
    </xf>
    <xf numFmtId="0" fontId="13" fillId="6" borderId="74" xfId="0" applyFont="1" applyFill="1" applyBorder="1"/>
    <xf numFmtId="0" fontId="13" fillId="0" borderId="74" xfId="0" applyFont="1" applyBorder="1" applyAlignment="1">
      <alignment horizontal="left" vertical="center"/>
    </xf>
    <xf numFmtId="2" fontId="13" fillId="0" borderId="74" xfId="0" applyNumberFormat="1" applyFont="1" applyBorder="1" applyAlignment="1">
      <alignment horizontal="right" vertical="center" wrapText="1"/>
    </xf>
    <xf numFmtId="0" fontId="13" fillId="0" borderId="74" xfId="0" applyFont="1" applyBorder="1" applyAlignment="1">
      <alignment horizontal="left" vertical="center" wrapText="1"/>
    </xf>
    <xf numFmtId="2" fontId="13" fillId="0" borderId="74" xfId="0" applyNumberFormat="1" applyFont="1" applyBorder="1" applyAlignment="1">
      <alignment horizontal="left" vertical="center" wrapText="1"/>
    </xf>
    <xf numFmtId="0" fontId="13" fillId="0" borderId="52" xfId="0" applyFont="1" applyBorder="1" applyAlignment="1">
      <alignment horizontal="center"/>
    </xf>
    <xf numFmtId="0" fontId="4" fillId="0" borderId="52" xfId="0" applyFont="1" applyBorder="1" applyAlignment="1">
      <alignment horizontal="center" vertical="center"/>
    </xf>
    <xf numFmtId="43" fontId="13" fillId="0" borderId="74" xfId="0" applyNumberFormat="1" applyFont="1" applyBorder="1" applyAlignment="1">
      <alignment horizontal="center" vertical="center"/>
    </xf>
    <xf numFmtId="43" fontId="13" fillId="0" borderId="74" xfId="0" applyNumberFormat="1" applyFont="1" applyBorder="1" applyAlignment="1">
      <alignment horizontal="left" vertical="center"/>
    </xf>
    <xf numFmtId="2" fontId="13" fillId="0" borderId="74" xfId="0" applyNumberFormat="1" applyFont="1" applyBorder="1" applyAlignment="1">
      <alignment vertical="center" wrapText="1"/>
    </xf>
    <xf numFmtId="0" fontId="4" fillId="0" borderId="51" xfId="0" applyFont="1" applyBorder="1" applyAlignment="1">
      <alignment horizontal="center" vertical="center"/>
    </xf>
    <xf numFmtId="0" fontId="4" fillId="0" borderId="50" xfId="0" applyFont="1" applyBorder="1"/>
    <xf numFmtId="0" fontId="4" fillId="0" borderId="51" xfId="0" applyFont="1" applyBorder="1" applyAlignment="1">
      <alignment horizontal="left"/>
    </xf>
    <xf numFmtId="0" fontId="4" fillId="0" borderId="52" xfId="0" applyFont="1" applyBorder="1" applyAlignment="1">
      <alignment horizontal="left"/>
    </xf>
    <xf numFmtId="0" fontId="4" fillId="0" borderId="50" xfId="0" applyFont="1" applyBorder="1" applyAlignment="1">
      <alignment horizontal="left"/>
    </xf>
    <xf numFmtId="0" fontId="4" fillId="0" borderId="51" xfId="0" applyFont="1" applyBorder="1" applyAlignment="1">
      <alignment horizontal="left" vertical="center" wrapText="1"/>
    </xf>
    <xf numFmtId="0" fontId="4" fillId="0" borderId="50" xfId="0" applyFont="1" applyBorder="1" applyAlignment="1">
      <alignment horizontal="left" vertical="center" wrapText="1"/>
    </xf>
    <xf numFmtId="0" fontId="4" fillId="0" borderId="50" xfId="0" applyFont="1" applyBorder="1" applyAlignment="1">
      <alignment horizontal="left" vertical="center"/>
    </xf>
    <xf numFmtId="0" fontId="4" fillId="0" borderId="37" xfId="0" applyFont="1" applyBorder="1" applyAlignment="1">
      <alignment horizontal="left" vertical="center" wrapText="1"/>
    </xf>
    <xf numFmtId="0" fontId="0" fillId="0" borderId="37" xfId="0" applyBorder="1"/>
    <xf numFmtId="2" fontId="0" fillId="0" borderId="77" xfId="0" applyNumberFormat="1" applyBorder="1"/>
    <xf numFmtId="0" fontId="4" fillId="0" borderId="74" xfId="0" applyFont="1" applyBorder="1" applyAlignment="1">
      <alignment horizontal="center" vertical="center" wrapText="1"/>
    </xf>
    <xf numFmtId="0" fontId="4" fillId="0" borderId="71" xfId="0" applyFont="1" applyBorder="1" applyAlignment="1">
      <alignment horizontal="center" vertical="center" wrapText="1"/>
    </xf>
    <xf numFmtId="0" fontId="13" fillId="6" borderId="74" xfId="0" applyFont="1" applyFill="1" applyBorder="1" applyAlignment="1">
      <alignment horizontal="center"/>
    </xf>
    <xf numFmtId="0" fontId="4" fillId="0" borderId="78" xfId="0" applyFont="1" applyBorder="1" applyAlignment="1">
      <alignment horizontal="center" vertical="center" wrapText="1"/>
    </xf>
    <xf numFmtId="0" fontId="4" fillId="6" borderId="35" xfId="0" applyFont="1" applyFill="1" applyBorder="1" applyAlignment="1">
      <alignment horizontal="center" vertical="center"/>
    </xf>
    <xf numFmtId="0" fontId="4" fillId="6" borderId="35" xfId="0" applyFont="1" applyFill="1" applyBorder="1" applyAlignment="1">
      <alignment horizontal="center" vertical="center" wrapText="1"/>
    </xf>
    <xf numFmtId="0" fontId="14" fillId="6" borderId="74" xfId="0" applyFont="1" applyFill="1" applyBorder="1" applyAlignment="1">
      <alignment wrapText="1"/>
    </xf>
    <xf numFmtId="0" fontId="14" fillId="0" borderId="74" xfId="0" applyFont="1" applyBorder="1" applyAlignment="1">
      <alignment wrapText="1"/>
    </xf>
    <xf numFmtId="0" fontId="4" fillId="0" borderId="52" xfId="0" applyFont="1" applyBorder="1" applyAlignment="1">
      <alignment vertical="center" wrapText="1"/>
    </xf>
    <xf numFmtId="0" fontId="14" fillId="0" borderId="74" xfId="0" applyFont="1" applyBorder="1" applyAlignment="1">
      <alignment horizontal="center" wrapText="1"/>
    </xf>
    <xf numFmtId="0" fontId="0" fillId="0" borderId="74" xfId="0" applyBorder="1"/>
    <xf numFmtId="0" fontId="0" fillId="0" borderId="74" xfId="0" applyBorder="1" applyAlignment="1">
      <alignment horizontal="left"/>
    </xf>
    <xf numFmtId="2" fontId="0" fillId="0" borderId="74" xfId="0" applyNumberFormat="1" applyBorder="1"/>
    <xf numFmtId="2" fontId="0" fillId="0" borderId="74" xfId="0" applyNumberFormat="1" applyBorder="1" applyAlignment="1">
      <alignment horizontal="center"/>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0" fillId="0" borderId="71" xfId="0" applyBorder="1" applyAlignment="1">
      <alignment horizontal="center" vertical="center"/>
    </xf>
    <xf numFmtId="0" fontId="0" fillId="0" borderId="81" xfId="0" applyBorder="1" applyAlignment="1">
      <alignment horizontal="center" vertical="center"/>
    </xf>
    <xf numFmtId="0" fontId="4" fillId="0" borderId="82" xfId="0" applyFont="1" applyBorder="1" applyAlignment="1">
      <alignment horizontal="center" vertical="center" wrapText="1"/>
    </xf>
    <xf numFmtId="0" fontId="0" fillId="0" borderId="80" xfId="0" applyBorder="1" applyAlignment="1">
      <alignment horizontal="center" vertical="center"/>
    </xf>
    <xf numFmtId="0" fontId="13" fillId="0" borderId="80" xfId="0" applyFont="1" applyBorder="1" applyAlignment="1">
      <alignment horizontal="center" vertical="center"/>
    </xf>
    <xf numFmtId="0" fontId="4" fillId="6" borderId="74" xfId="0" applyFont="1" applyFill="1" applyBorder="1" applyAlignment="1">
      <alignment horizontal="left" vertical="center" wrapText="1"/>
    </xf>
    <xf numFmtId="2" fontId="4" fillId="6" borderId="74" xfId="0" applyNumberFormat="1" applyFont="1" applyFill="1" applyBorder="1" applyAlignment="1">
      <alignment horizontal="left" vertical="center" wrapText="1"/>
    </xf>
    <xf numFmtId="2" fontId="0" fillId="0" borderId="74" xfId="0" applyNumberFormat="1" applyBorder="1" applyAlignment="1">
      <alignment horizontal="right"/>
    </xf>
    <xf numFmtId="0" fontId="13" fillId="0" borderId="52" xfId="0" applyFont="1" applyBorder="1" applyAlignment="1">
      <alignment horizontal="left" vertical="center" wrapText="1"/>
    </xf>
    <xf numFmtId="0" fontId="0" fillId="6" borderId="35" xfId="0" applyFill="1" applyBorder="1" applyAlignment="1">
      <alignment horizontal="center" vertical="center"/>
    </xf>
    <xf numFmtId="2" fontId="4" fillId="0" borderId="74" xfId="0" applyNumberFormat="1" applyFont="1" applyBorder="1" applyAlignment="1">
      <alignment horizontal="left" vertical="center" wrapText="1"/>
    </xf>
    <xf numFmtId="0" fontId="13" fillId="6" borderId="74" xfId="0" applyFont="1" applyFill="1" applyBorder="1" applyAlignment="1">
      <alignment horizontal="left" vertical="center"/>
    </xf>
    <xf numFmtId="2" fontId="13" fillId="6" borderId="74" xfId="0" applyNumberFormat="1" applyFont="1" applyFill="1" applyBorder="1" applyAlignment="1">
      <alignment horizontal="left" vertical="center"/>
    </xf>
    <xf numFmtId="2" fontId="0" fillId="0" borderId="37" xfId="0" applyNumberFormat="1" applyBorder="1"/>
    <xf numFmtId="2" fontId="13" fillId="0" borderId="74" xfId="0" applyNumberFormat="1" applyFont="1" applyBorder="1" applyAlignment="1">
      <alignment horizontal="right" wrapText="1"/>
    </xf>
    <xf numFmtId="0" fontId="4" fillId="6" borderId="71" xfId="0" applyFont="1" applyFill="1" applyBorder="1" applyAlignment="1">
      <alignment horizontal="left"/>
    </xf>
    <xf numFmtId="0" fontId="4" fillId="6" borderId="71" xfId="0" applyFont="1" applyFill="1" applyBorder="1" applyAlignment="1">
      <alignment horizontal="center" vertical="center"/>
    </xf>
    <xf numFmtId="0" fontId="4" fillId="6" borderId="71" xfId="0" applyFont="1" applyFill="1" applyBorder="1" applyAlignment="1">
      <alignment horizontal="center" vertical="center" wrapText="1"/>
    </xf>
    <xf numFmtId="0" fontId="0" fillId="0" borderId="71" xfId="0" applyBorder="1"/>
    <xf numFmtId="0" fontId="0" fillId="0" borderId="71" xfId="0" applyBorder="1" applyAlignment="1">
      <alignment horizontal="left"/>
    </xf>
    <xf numFmtId="0" fontId="0" fillId="0" borderId="71" xfId="0" applyBorder="1" applyAlignment="1">
      <alignment horizontal="center"/>
    </xf>
    <xf numFmtId="0" fontId="4" fillId="6" borderId="81" xfId="0" applyFont="1" applyFill="1" applyBorder="1" applyAlignment="1">
      <alignment horizontal="left"/>
    </xf>
    <xf numFmtId="0" fontId="4" fillId="6" borderId="81" xfId="0" applyFont="1" applyFill="1" applyBorder="1" applyAlignment="1">
      <alignment horizontal="center" vertical="center"/>
    </xf>
    <xf numFmtId="0" fontId="4" fillId="6" borderId="80" xfId="0" applyFont="1" applyFill="1" applyBorder="1" applyAlignment="1">
      <alignment horizontal="left"/>
    </xf>
    <xf numFmtId="0" fontId="4" fillId="6" borderId="80" xfId="0" applyFont="1" applyFill="1" applyBorder="1" applyAlignment="1">
      <alignment horizontal="center" vertical="center"/>
    </xf>
    <xf numFmtId="0" fontId="0" fillId="0" borderId="80" xfId="0" applyBorder="1"/>
    <xf numFmtId="0" fontId="4" fillId="6" borderId="81" xfId="0" applyFont="1" applyFill="1" applyBorder="1" applyAlignment="1">
      <alignment horizontal="center" vertical="center" wrapText="1"/>
    </xf>
    <xf numFmtId="0" fontId="0" fillId="0" borderId="81" xfId="0" applyBorder="1"/>
    <xf numFmtId="0" fontId="0" fillId="0" borderId="81" xfId="0" applyBorder="1" applyAlignment="1">
      <alignment horizontal="left"/>
    </xf>
    <xf numFmtId="0" fontId="4" fillId="6" borderId="78" xfId="0" applyFont="1" applyFill="1" applyBorder="1" applyAlignment="1">
      <alignment horizontal="left"/>
    </xf>
    <xf numFmtId="0" fontId="4" fillId="6" borderId="78" xfId="0" applyFont="1" applyFill="1" applyBorder="1" applyAlignment="1">
      <alignment horizontal="center" vertical="center" wrapText="1"/>
    </xf>
    <xf numFmtId="0" fontId="0" fillId="0" borderId="78" xfId="0" applyBorder="1"/>
    <xf numFmtId="0" fontId="4" fillId="6" borderId="82" xfId="0" applyFont="1" applyFill="1" applyBorder="1" applyAlignment="1">
      <alignment horizontal="left"/>
    </xf>
    <xf numFmtId="0" fontId="4" fillId="6" borderId="82" xfId="0" applyFont="1" applyFill="1" applyBorder="1" applyAlignment="1">
      <alignment horizontal="center" vertical="center" wrapText="1"/>
    </xf>
    <xf numFmtId="0" fontId="0" fillId="0" borderId="82" xfId="0" applyBorder="1" applyAlignment="1">
      <alignment horizontal="left"/>
    </xf>
    <xf numFmtId="0" fontId="0" fillId="0" borderId="82" xfId="0" applyBorder="1"/>
    <xf numFmtId="0" fontId="13" fillId="0" borderId="81" xfId="0" applyFont="1" applyBorder="1" applyAlignment="1">
      <alignment horizontal="center" vertical="center" wrapText="1"/>
    </xf>
    <xf numFmtId="2" fontId="13" fillId="6" borderId="74" xfId="0" applyNumberFormat="1" applyFont="1" applyFill="1" applyBorder="1" applyAlignment="1">
      <alignment horizontal="center"/>
    </xf>
    <xf numFmtId="0" fontId="13" fillId="6" borderId="74" xfId="0" applyFont="1" applyFill="1" applyBorder="1" applyAlignment="1">
      <alignment horizontal="center" vertical="center" wrapText="1"/>
    </xf>
    <xf numFmtId="2" fontId="13" fillId="0" borderId="74" xfId="0" applyNumberFormat="1" applyFont="1" applyBorder="1" applyAlignment="1">
      <alignment horizontal="right"/>
    </xf>
    <xf numFmtId="0" fontId="13" fillId="0" borderId="78" xfId="0" applyFont="1" applyBorder="1" applyAlignment="1">
      <alignment horizontal="center" vertical="center" wrapText="1"/>
    </xf>
    <xf numFmtId="0" fontId="0" fillId="0" borderId="80" xfId="0" applyBorder="1" applyAlignment="1">
      <alignment horizontal="left"/>
    </xf>
    <xf numFmtId="0" fontId="0" fillId="0" borderId="80" xfId="0" applyBorder="1" applyAlignment="1">
      <alignment horizontal="center"/>
    </xf>
    <xf numFmtId="0" fontId="0" fillId="0" borderId="81" xfId="0" applyBorder="1" applyAlignment="1">
      <alignment horizontal="center"/>
    </xf>
    <xf numFmtId="0" fontId="0" fillId="0" borderId="78" xfId="0" applyBorder="1" applyAlignment="1">
      <alignment horizontal="left"/>
    </xf>
    <xf numFmtId="0" fontId="0" fillId="0" borderId="82" xfId="0" applyBorder="1" applyAlignment="1">
      <alignment horizontal="center"/>
    </xf>
    <xf numFmtId="0" fontId="0" fillId="0" borderId="74" xfId="0" applyBorder="1" applyAlignment="1">
      <alignment horizontal="center" wrapText="1"/>
    </xf>
    <xf numFmtId="2" fontId="0" fillId="0" borderId="74" xfId="0" applyNumberFormat="1" applyBorder="1" applyAlignment="1">
      <alignment horizontal="center" wrapText="1"/>
    </xf>
    <xf numFmtId="0" fontId="0" fillId="0" borderId="43" xfId="0" applyBorder="1"/>
    <xf numFmtId="0" fontId="3" fillId="0" borderId="0" xfId="0" applyFont="1"/>
    <xf numFmtId="0" fontId="0" fillId="0" borderId="71" xfId="0" applyBorder="1" applyAlignment="1">
      <alignment horizontal="center" wrapText="1"/>
    </xf>
    <xf numFmtId="0" fontId="0" fillId="0" borderId="81" xfId="0" applyBorder="1" applyAlignment="1">
      <alignment horizontal="center" wrapText="1"/>
    </xf>
    <xf numFmtId="0" fontId="0" fillId="0" borderId="80" xfId="0" applyBorder="1" applyAlignment="1">
      <alignment horizontal="center" wrapText="1"/>
    </xf>
    <xf numFmtId="0" fontId="0" fillId="0" borderId="78" xfId="0" applyBorder="1" applyAlignment="1">
      <alignment horizontal="center" wrapText="1"/>
    </xf>
    <xf numFmtId="0" fontId="0" fillId="0" borderId="82" xfId="0" applyBorder="1" applyAlignment="1">
      <alignment horizontal="center" wrapText="1"/>
    </xf>
    <xf numFmtId="0" fontId="0" fillId="0" borderId="74" xfId="0" applyBorder="1" applyAlignment="1">
      <alignment horizontal="left" wrapText="1"/>
    </xf>
    <xf numFmtId="0" fontId="0" fillId="0" borderId="88" xfId="0" applyBorder="1"/>
    <xf numFmtId="2" fontId="0" fillId="0" borderId="42" xfId="0" applyNumberFormat="1" applyBorder="1"/>
    <xf numFmtId="0" fontId="0" fillId="0" borderId="89" xfId="0" applyBorder="1"/>
    <xf numFmtId="0" fontId="0" fillId="0" borderId="90" xfId="0" applyBorder="1"/>
    <xf numFmtId="0" fontId="0" fillId="0" borderId="91" xfId="0" applyBorder="1"/>
    <xf numFmtId="2" fontId="0" fillId="0" borderId="42" xfId="0" applyNumberFormat="1" applyBorder="1" applyAlignment="1">
      <alignment horizontal="center" vertical="center"/>
    </xf>
    <xf numFmtId="0" fontId="0" fillId="0" borderId="42" xfId="0" applyBorder="1" applyAlignment="1">
      <alignment horizontal="center" vertical="center"/>
    </xf>
    <xf numFmtId="0" fontId="0" fillId="0" borderId="14" xfId="0" applyBorder="1" applyAlignment="1">
      <alignment horizontal="center" vertical="center"/>
    </xf>
    <xf numFmtId="0" fontId="0" fillId="0" borderId="92" xfId="0" applyBorder="1"/>
    <xf numFmtId="0" fontId="0" fillId="0" borderId="93" xfId="0" applyBorder="1"/>
    <xf numFmtId="0" fontId="0" fillId="0" borderId="94" xfId="0" applyBorder="1"/>
    <xf numFmtId="0" fontId="0" fillId="0" borderId="95" xfId="0" applyBorder="1"/>
    <xf numFmtId="0" fontId="0" fillId="0" borderId="96" xfId="0" applyBorder="1"/>
    <xf numFmtId="0" fontId="0" fillId="0" borderId="97" xfId="0" applyBorder="1"/>
    <xf numFmtId="0" fontId="0" fillId="0" borderId="98" xfId="0" applyBorder="1"/>
    <xf numFmtId="0" fontId="0" fillId="0" borderId="99" xfId="0" applyBorder="1"/>
    <xf numFmtId="0" fontId="0" fillId="0" borderId="100" xfId="0" applyBorder="1"/>
    <xf numFmtId="0" fontId="5" fillId="4" borderId="101" xfId="0" applyFont="1" applyFill="1" applyBorder="1" applyAlignment="1">
      <alignment vertical="top"/>
    </xf>
    <xf numFmtId="49" fontId="5" fillId="4" borderId="105" xfId="0" applyNumberFormat="1" applyFont="1" applyFill="1" applyBorder="1" applyAlignment="1">
      <alignment horizontal="center" vertical="top" wrapText="1"/>
    </xf>
    <xf numFmtId="49" fontId="5" fillId="4" borderId="106" xfId="0" applyNumberFormat="1" applyFont="1" applyFill="1" applyBorder="1" applyAlignment="1">
      <alignment horizontal="center" vertical="top" wrapText="1"/>
    </xf>
    <xf numFmtId="0" fontId="4" fillId="0" borderId="43" xfId="0" applyFont="1" applyBorder="1" applyAlignment="1">
      <alignment vertical="center" wrapText="1"/>
    </xf>
    <xf numFmtId="2" fontId="0" fillId="0" borderId="14" xfId="0" applyNumberFormat="1" applyBorder="1" applyAlignment="1">
      <alignment horizontal="center" vertical="center"/>
    </xf>
    <xf numFmtId="0" fontId="0" fillId="0" borderId="108" xfId="0" applyBorder="1"/>
    <xf numFmtId="0" fontId="13" fillId="0" borderId="71" xfId="0" applyFont="1" applyBorder="1" applyAlignment="1">
      <alignment horizontal="center" vertical="center" wrapText="1"/>
    </xf>
    <xf numFmtId="0" fontId="13" fillId="0" borderId="71" xfId="0" applyFont="1" applyBorder="1" applyAlignment="1">
      <alignment horizontal="center" vertical="center"/>
    </xf>
    <xf numFmtId="0" fontId="13" fillId="0" borderId="81" xfId="0" applyFont="1" applyBorder="1" applyAlignment="1">
      <alignment horizontal="center" vertical="center"/>
    </xf>
    <xf numFmtId="0" fontId="13" fillId="0" borderId="80" xfId="0" applyFont="1" applyBorder="1" applyAlignment="1">
      <alignment horizontal="center" vertical="center" wrapText="1"/>
    </xf>
    <xf numFmtId="0" fontId="13" fillId="0" borderId="82" xfId="0" applyFont="1" applyBorder="1" applyAlignment="1">
      <alignment horizontal="center" vertical="center" wrapText="1"/>
    </xf>
    <xf numFmtId="4" fontId="0" fillId="0" borderId="42" xfId="0" applyNumberFormat="1" applyBorder="1" applyAlignment="1">
      <alignment horizontal="center" vertical="center"/>
    </xf>
    <xf numFmtId="0" fontId="5" fillId="4" borderId="115" xfId="0" applyFont="1" applyFill="1" applyBorder="1" applyAlignment="1">
      <alignment vertical="top"/>
    </xf>
    <xf numFmtId="49" fontId="5" fillId="4" borderId="28" xfId="0" applyNumberFormat="1" applyFont="1" applyFill="1" applyBorder="1" applyAlignment="1">
      <alignment horizontal="center" vertical="top" wrapText="1"/>
    </xf>
    <xf numFmtId="0" fontId="0" fillId="0" borderId="48" xfId="0" applyBorder="1" applyAlignment="1">
      <alignment horizontal="center"/>
    </xf>
    <xf numFmtId="0" fontId="0" fillId="0" borderId="48" xfId="0" applyBorder="1" applyAlignment="1">
      <alignment horizontal="left"/>
    </xf>
    <xf numFmtId="0" fontId="0" fillId="0" borderId="53" xfId="0" applyBorder="1" applyAlignment="1">
      <alignment horizontal="center"/>
    </xf>
    <xf numFmtId="0" fontId="0" fillId="6" borderId="53" xfId="0" applyFill="1" applyBorder="1" applyAlignment="1">
      <alignment horizontal="center" vertical="center"/>
    </xf>
    <xf numFmtId="0" fontId="0" fillId="0" borderId="49" xfId="0" applyBorder="1" applyAlignment="1">
      <alignment horizontal="center"/>
    </xf>
    <xf numFmtId="0" fontId="0" fillId="0" borderId="49" xfId="0" applyBorder="1" applyAlignment="1">
      <alignment horizontal="left"/>
    </xf>
    <xf numFmtId="0" fontId="0" fillId="6" borderId="49" xfId="0" applyFill="1" applyBorder="1" applyAlignment="1">
      <alignment horizontal="center" vertical="center"/>
    </xf>
    <xf numFmtId="0" fontId="0" fillId="6" borderId="68" xfId="0" applyFill="1" applyBorder="1" applyAlignment="1">
      <alignment horizontal="center" vertical="center"/>
    </xf>
    <xf numFmtId="0" fontId="0" fillId="0" borderId="52" xfId="0" applyBorder="1" applyAlignment="1">
      <alignment horizontal="left"/>
    </xf>
    <xf numFmtId="0" fontId="0" fillId="0" borderId="52" xfId="0" applyBorder="1" applyAlignment="1">
      <alignment horizontal="center"/>
    </xf>
    <xf numFmtId="2" fontId="13" fillId="0" borderId="74" xfId="0" applyNumberFormat="1" applyFont="1" applyBorder="1" applyAlignment="1">
      <alignment horizontal="left"/>
    </xf>
    <xf numFmtId="0" fontId="13" fillId="0" borderId="82" xfId="0" applyFont="1" applyBorder="1"/>
    <xf numFmtId="0" fontId="0" fillId="0" borderId="120" xfId="0" applyBorder="1"/>
    <xf numFmtId="0" fontId="11" fillId="0" borderId="48" xfId="0" applyFont="1" applyBorder="1"/>
    <xf numFmtId="165" fontId="0" fillId="0" borderId="48" xfId="0" applyNumberFormat="1" applyBorder="1"/>
    <xf numFmtId="164" fontId="0" fillId="0" borderId="48" xfId="0" applyNumberFormat="1" applyBorder="1"/>
    <xf numFmtId="0" fontId="0" fillId="0" borderId="74" xfId="0" applyBorder="1" applyAlignment="1">
      <alignment horizontal="center" vertical="center" wrapText="1"/>
    </xf>
    <xf numFmtId="0" fontId="0" fillId="0" borderId="126" xfId="0" applyBorder="1"/>
    <xf numFmtId="0" fontId="0" fillId="0" borderId="130" xfId="0" applyBorder="1" applyAlignment="1">
      <alignment horizontal="center" vertical="center"/>
    </xf>
    <xf numFmtId="0" fontId="13" fillId="0" borderId="37" xfId="0" applyFont="1" applyBorder="1"/>
    <xf numFmtId="0" fontId="13" fillId="0" borderId="53" xfId="0" applyFont="1" applyBorder="1" applyAlignment="1">
      <alignment horizontal="center"/>
    </xf>
    <xf numFmtId="2" fontId="13" fillId="0" borderId="52" xfId="0" applyNumberFormat="1" applyFont="1" applyBorder="1"/>
    <xf numFmtId="0" fontId="0" fillId="0" borderId="50" xfId="0" applyBorder="1" applyAlignment="1">
      <alignment horizontal="left"/>
    </xf>
    <xf numFmtId="0" fontId="0" fillId="0" borderId="50" xfId="0" applyBorder="1" applyAlignment="1">
      <alignment horizontal="center"/>
    </xf>
    <xf numFmtId="0" fontId="0" fillId="0" borderId="51" xfId="0" applyBorder="1" applyAlignment="1">
      <alignment horizontal="center"/>
    </xf>
    <xf numFmtId="0" fontId="4" fillId="0" borderId="48" xfId="0" applyFont="1" applyBorder="1" applyAlignment="1">
      <alignment horizontal="left" vertical="center"/>
    </xf>
    <xf numFmtId="0" fontId="0" fillId="0" borderId="48" xfId="0" applyBorder="1" applyAlignment="1">
      <alignment horizontal="left" vertical="center"/>
    </xf>
    <xf numFmtId="0" fontId="4" fillId="6" borderId="48" xfId="0" applyFont="1" applyFill="1" applyBorder="1" applyAlignment="1">
      <alignment horizontal="left" vertical="center" wrapText="1"/>
    </xf>
    <xf numFmtId="0" fontId="4" fillId="6" borderId="53"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51"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8" xfId="0" applyFont="1" applyFill="1" applyBorder="1" applyAlignment="1">
      <alignment horizontal="left" vertical="center"/>
    </xf>
    <xf numFmtId="0" fontId="4" fillId="6" borderId="53" xfId="0" applyFont="1" applyFill="1" applyBorder="1" applyAlignment="1">
      <alignment horizontal="left" vertical="center"/>
    </xf>
    <xf numFmtId="0" fontId="4" fillId="6" borderId="50" xfId="0" applyFont="1" applyFill="1" applyBorder="1" applyAlignment="1">
      <alignment horizontal="left" vertical="center"/>
    </xf>
    <xf numFmtId="0" fontId="4" fillId="6" borderId="51" xfId="0" applyFont="1" applyFill="1" applyBorder="1" applyAlignment="1">
      <alignment horizontal="left" vertical="center"/>
    </xf>
    <xf numFmtId="2" fontId="0" fillId="0" borderId="74" xfId="0" applyNumberFormat="1" applyBorder="1" applyAlignment="1">
      <alignment horizontal="center" vertical="center" wrapText="1"/>
    </xf>
    <xf numFmtId="2" fontId="0" fillId="0" borderId="74" xfId="0" applyNumberFormat="1" applyBorder="1" applyAlignment="1">
      <alignment vertical="center"/>
    </xf>
    <xf numFmtId="0" fontId="13" fillId="0" borderId="83" xfId="0" applyFont="1" applyBorder="1"/>
    <xf numFmtId="0" fontId="13" fillId="0" borderId="65" xfId="0" applyFont="1" applyBorder="1"/>
    <xf numFmtId="0" fontId="13" fillId="0" borderId="74" xfId="0" applyFont="1" applyBorder="1" applyAlignment="1">
      <alignment vertical="center"/>
    </xf>
    <xf numFmtId="2" fontId="13" fillId="0" borderId="74" xfId="0" applyNumberFormat="1" applyFont="1" applyBorder="1" applyAlignment="1">
      <alignment vertical="center"/>
    </xf>
    <xf numFmtId="0" fontId="0" fillId="0" borderId="111" xfId="0" applyBorder="1" applyAlignment="1">
      <alignment vertical="center"/>
    </xf>
    <xf numFmtId="2" fontId="0" fillId="0" borderId="112" xfId="0" applyNumberFormat="1" applyBorder="1" applyAlignment="1">
      <alignment horizontal="center"/>
    </xf>
    <xf numFmtId="2" fontId="0" fillId="0" borderId="89" xfId="0" applyNumberFormat="1" applyBorder="1" applyAlignment="1">
      <alignment horizontal="center"/>
    </xf>
    <xf numFmtId="2" fontId="0" fillId="0" borderId="90" xfId="0" applyNumberFormat="1" applyBorder="1" applyAlignment="1">
      <alignment horizontal="center"/>
    </xf>
    <xf numFmtId="0" fontId="0" fillId="0" borderId="43" xfId="0" applyBorder="1" applyAlignment="1">
      <alignment vertical="center"/>
    </xf>
    <xf numFmtId="2" fontId="0" fillId="0" borderId="42" xfId="0" applyNumberFormat="1" applyBorder="1" applyAlignment="1">
      <alignment horizontal="center"/>
    </xf>
    <xf numFmtId="2" fontId="0" fillId="0" borderId="113" xfId="0" applyNumberFormat="1" applyBorder="1" applyAlignment="1">
      <alignment horizontal="center" vertical="center"/>
    </xf>
    <xf numFmtId="2" fontId="0" fillId="0" borderId="8" xfId="0" applyNumberFormat="1" applyBorder="1" applyAlignment="1">
      <alignment horizontal="center" vertical="center"/>
    </xf>
    <xf numFmtId="0" fontId="4" fillId="6" borderId="68" xfId="0" applyFont="1" applyFill="1" applyBorder="1" applyAlignment="1">
      <alignment horizontal="center" vertical="center"/>
    </xf>
    <xf numFmtId="0" fontId="0" fillId="0" borderId="79" xfId="0" applyBorder="1"/>
    <xf numFmtId="0" fontId="0" fillId="0" borderId="74" xfId="0" applyBorder="1" applyAlignment="1">
      <alignment horizontal="right"/>
    </xf>
    <xf numFmtId="2" fontId="4" fillId="6" borderId="112" xfId="0" applyNumberFormat="1" applyFont="1" applyFill="1" applyBorder="1" applyAlignment="1">
      <alignment horizontal="center" vertical="center"/>
    </xf>
    <xf numFmtId="0" fontId="4" fillId="6" borderId="92" xfId="0" applyFont="1" applyFill="1" applyBorder="1"/>
    <xf numFmtId="2" fontId="4" fillId="6" borderId="125" xfId="0" applyNumberFormat="1" applyFont="1" applyFill="1" applyBorder="1" applyAlignment="1">
      <alignment horizontal="center" vertical="center"/>
    </xf>
    <xf numFmtId="0" fontId="4" fillId="6" borderId="93" xfId="0" applyFont="1" applyFill="1" applyBorder="1"/>
    <xf numFmtId="2" fontId="4" fillId="6" borderId="126" xfId="0" applyNumberFormat="1" applyFont="1" applyFill="1" applyBorder="1" applyAlignment="1">
      <alignment horizontal="center" vertical="center"/>
    </xf>
    <xf numFmtId="0" fontId="4" fillId="6" borderId="94" xfId="0" applyFont="1" applyFill="1" applyBorder="1"/>
    <xf numFmtId="2" fontId="4" fillId="6" borderId="127" xfId="0" applyNumberFormat="1" applyFont="1" applyFill="1" applyBorder="1" applyAlignment="1">
      <alignment horizontal="center" vertical="center"/>
    </xf>
    <xf numFmtId="0" fontId="4" fillId="6" borderId="43" xfId="0" applyFont="1" applyFill="1" applyBorder="1" applyAlignment="1">
      <alignment vertical="center" wrapText="1"/>
    </xf>
    <xf numFmtId="2" fontId="4" fillId="6" borderId="42" xfId="0" applyNumberFormat="1" applyFont="1" applyFill="1" applyBorder="1" applyAlignment="1">
      <alignment horizontal="center" vertical="center"/>
    </xf>
    <xf numFmtId="0" fontId="4" fillId="6" borderId="92" xfId="0" applyFont="1" applyFill="1" applyBorder="1" applyAlignment="1">
      <alignment vertical="center" wrapText="1"/>
    </xf>
    <xf numFmtId="0" fontId="4" fillId="6" borderId="93" xfId="0" applyFont="1" applyFill="1" applyBorder="1" applyAlignment="1">
      <alignment vertical="center" wrapText="1"/>
    </xf>
    <xf numFmtId="0" fontId="0" fillId="0" borderId="125" xfId="0" applyBorder="1"/>
    <xf numFmtId="0" fontId="0" fillId="0" borderId="42" xfId="0" applyBorder="1"/>
    <xf numFmtId="2" fontId="0" fillId="0" borderId="138" xfId="0" applyNumberFormat="1" applyBorder="1" applyAlignment="1">
      <alignment horizontal="center" vertical="center"/>
    </xf>
    <xf numFmtId="0" fontId="0" fillId="0" borderId="34" xfId="0" applyBorder="1" applyAlignment="1">
      <alignment vertical="center"/>
    </xf>
    <xf numFmtId="2" fontId="0" fillId="0" borderId="131" xfId="0" applyNumberFormat="1" applyBorder="1" applyAlignment="1">
      <alignment horizontal="center" vertical="center"/>
    </xf>
    <xf numFmtId="0" fontId="0" fillId="0" borderId="119" xfId="0" applyBorder="1" applyAlignment="1">
      <alignment vertical="center"/>
    </xf>
    <xf numFmtId="0" fontId="0" fillId="0" borderId="45" xfId="0" applyBorder="1" applyAlignment="1">
      <alignment vertical="center"/>
    </xf>
    <xf numFmtId="0" fontId="0" fillId="0" borderId="107" xfId="0" applyBorder="1" applyAlignment="1">
      <alignment horizontal="center" vertical="center"/>
    </xf>
    <xf numFmtId="0" fontId="0" fillId="0" borderId="127" xfId="0" applyBorder="1"/>
    <xf numFmtId="0" fontId="13" fillId="0" borderId="92" xfId="0" applyFont="1" applyBorder="1" applyAlignment="1">
      <alignment vertical="center" wrapText="1"/>
    </xf>
    <xf numFmtId="0" fontId="13" fillId="0" borderId="93" xfId="0" applyFont="1" applyBorder="1" applyAlignment="1">
      <alignment vertical="center" wrapText="1"/>
    </xf>
    <xf numFmtId="0" fontId="13" fillId="0" borderId="94" xfId="0" applyFont="1" applyBorder="1" applyAlignment="1">
      <alignment vertical="center" wrapText="1"/>
    </xf>
    <xf numFmtId="0" fontId="4" fillId="0" borderId="92" xfId="0" applyFont="1" applyBorder="1" applyAlignment="1">
      <alignment vertical="center" wrapText="1"/>
    </xf>
    <xf numFmtId="0" fontId="4" fillId="0" borderId="93" xfId="0" applyFont="1" applyBorder="1" applyAlignment="1">
      <alignment vertical="center" wrapText="1"/>
    </xf>
    <xf numFmtId="0" fontId="4" fillId="0" borderId="95" xfId="0" applyFont="1" applyBorder="1" applyAlignment="1">
      <alignment vertical="center" wrapText="1"/>
    </xf>
    <xf numFmtId="0" fontId="0" fillId="0" borderId="139" xfId="0" applyBorder="1"/>
    <xf numFmtId="0" fontId="4" fillId="0" borderId="43" xfId="0" applyFont="1" applyBorder="1" applyAlignment="1">
      <alignment horizontal="left" vertical="center" wrapText="1"/>
    </xf>
    <xf numFmtId="2" fontId="0" fillId="0" borderId="112" xfId="0" applyNumberFormat="1" applyBorder="1" applyAlignment="1">
      <alignment horizontal="center" vertical="center"/>
    </xf>
    <xf numFmtId="0" fontId="0" fillId="0" borderId="140" xfId="0" applyBorder="1"/>
    <xf numFmtId="2" fontId="0" fillId="0" borderId="24" xfId="0" applyNumberFormat="1" applyBorder="1" applyAlignment="1">
      <alignment horizontal="center" vertical="center"/>
    </xf>
    <xf numFmtId="0" fontId="4" fillId="0" borderId="82" xfId="0" applyFont="1" applyBorder="1" applyAlignment="1">
      <alignment horizontal="left" vertical="center" wrapText="1"/>
    </xf>
    <xf numFmtId="0" fontId="4" fillId="0" borderId="81" xfId="0" applyFont="1" applyBorder="1" applyAlignment="1">
      <alignment horizontal="left" vertical="center" wrapText="1"/>
    </xf>
    <xf numFmtId="0" fontId="0" fillId="6" borderId="81" xfId="0" applyFill="1" applyBorder="1" applyAlignment="1">
      <alignment horizontal="center" vertical="center"/>
    </xf>
    <xf numFmtId="0" fontId="4" fillId="0" borderId="78" xfId="0" applyFont="1" applyBorder="1" applyAlignment="1">
      <alignment horizontal="left" vertical="center" wrapText="1"/>
    </xf>
    <xf numFmtId="0" fontId="4" fillId="0" borderId="71" xfId="0" applyFont="1" applyBorder="1" applyAlignment="1">
      <alignment horizontal="left" vertical="center" wrapText="1"/>
    </xf>
    <xf numFmtId="0" fontId="0" fillId="6" borderId="71" xfId="0" applyFill="1" applyBorder="1" applyAlignment="1">
      <alignment horizontal="center" vertical="center"/>
    </xf>
    <xf numFmtId="0" fontId="4" fillId="0" borderId="80" xfId="0" applyFont="1" applyBorder="1" applyAlignment="1">
      <alignment horizontal="left" vertical="center" wrapText="1"/>
    </xf>
    <xf numFmtId="1" fontId="0" fillId="0" borderId="80" xfId="1" applyNumberFormat="1" applyFont="1" applyBorder="1"/>
    <xf numFmtId="0" fontId="0" fillId="0" borderId="141" xfId="0" applyBorder="1" applyAlignment="1">
      <alignment horizontal="left"/>
    </xf>
    <xf numFmtId="2" fontId="13" fillId="0" borderId="120" xfId="0" applyNumberFormat="1" applyFont="1" applyBorder="1" applyAlignment="1">
      <alignment vertical="center" wrapText="1"/>
    </xf>
    <xf numFmtId="2" fontId="0" fillId="0" borderId="82" xfId="0" applyNumberFormat="1" applyBorder="1" applyAlignment="1">
      <alignment horizontal="center"/>
    </xf>
    <xf numFmtId="0" fontId="0" fillId="0" borderId="141" xfId="0" applyBorder="1"/>
    <xf numFmtId="2" fontId="0" fillId="0" borderId="82" xfId="0" applyNumberFormat="1" applyBorder="1"/>
    <xf numFmtId="2" fontId="0" fillId="0" borderId="81" xfId="0" applyNumberFormat="1" applyBorder="1"/>
    <xf numFmtId="2" fontId="0" fillId="0" borderId="80" xfId="0" applyNumberFormat="1" applyBorder="1" applyAlignment="1">
      <alignment horizontal="center"/>
    </xf>
    <xf numFmtId="0" fontId="0" fillId="6" borderId="111" xfId="0" applyFill="1" applyBorder="1" applyAlignment="1">
      <alignment horizontal="center" vertical="center"/>
    </xf>
    <xf numFmtId="0" fontId="0" fillId="0" borderId="112" xfId="0" applyBorder="1"/>
    <xf numFmtId="0" fontId="0" fillId="0" borderId="109" xfId="0" applyBorder="1"/>
    <xf numFmtId="0" fontId="0" fillId="6" borderId="43" xfId="0" applyFill="1" applyBorder="1" applyAlignment="1">
      <alignment vertical="center"/>
    </xf>
    <xf numFmtId="0" fontId="0" fillId="6" borderId="92" xfId="0" applyFill="1" applyBorder="1" applyAlignment="1">
      <alignment vertical="center"/>
    </xf>
    <xf numFmtId="0" fontId="0" fillId="6" borderId="93" xfId="0" applyFill="1" applyBorder="1" applyAlignment="1">
      <alignment vertical="center"/>
    </xf>
    <xf numFmtId="0" fontId="0" fillId="6" borderId="94" xfId="0" applyFill="1" applyBorder="1" applyAlignment="1">
      <alignment vertical="center"/>
    </xf>
    <xf numFmtId="0" fontId="0" fillId="0" borderId="142" xfId="0" applyBorder="1"/>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0" fillId="0" borderId="125" xfId="0" applyBorder="1" applyAlignment="1">
      <alignment horizontal="center"/>
    </xf>
    <xf numFmtId="0" fontId="0" fillId="0" borderId="126" xfId="0" applyBorder="1" applyAlignment="1">
      <alignment horizontal="center"/>
    </xf>
    <xf numFmtId="0" fontId="0" fillId="0" borderId="127" xfId="0" applyBorder="1" applyAlignment="1">
      <alignment horizontal="center"/>
    </xf>
    <xf numFmtId="0" fontId="0" fillId="0" borderId="143" xfId="0" applyBorder="1"/>
    <xf numFmtId="0" fontId="0" fillId="0" borderId="144" xfId="0" applyBorder="1"/>
    <xf numFmtId="0" fontId="8" fillId="0" borderId="67" xfId="0" applyFont="1" applyBorder="1" applyAlignment="1">
      <alignment horizontal="left" vertical="center"/>
    </xf>
    <xf numFmtId="2" fontId="10" fillId="0" borderId="68" xfId="2" applyNumberFormat="1" applyFont="1" applyFill="1" applyBorder="1" applyAlignment="1">
      <alignment vertical="center"/>
    </xf>
    <xf numFmtId="2" fontId="10" fillId="0" borderId="69" xfId="2" applyNumberFormat="1" applyFont="1" applyFill="1" applyBorder="1" applyAlignment="1">
      <alignment vertical="center"/>
    </xf>
    <xf numFmtId="0" fontId="8" fillId="0" borderId="55" xfId="0" applyFont="1" applyBorder="1" applyAlignment="1">
      <alignment horizontal="left" vertical="center"/>
    </xf>
    <xf numFmtId="0" fontId="9" fillId="0" borderId="52" xfId="0" applyFont="1" applyBorder="1" applyAlignment="1">
      <alignment horizontal="center" vertical="center" wrapText="1"/>
    </xf>
    <xf numFmtId="0" fontId="9" fillId="0" borderId="49" xfId="0" applyFont="1" applyBorder="1" applyAlignment="1">
      <alignment horizontal="center" vertical="center" wrapText="1"/>
    </xf>
    <xf numFmtId="2" fontId="10" fillId="0" borderId="49" xfId="2" applyNumberFormat="1" applyFont="1" applyFill="1" applyBorder="1" applyAlignment="1">
      <alignment vertical="center"/>
    </xf>
    <xf numFmtId="2" fontId="10" fillId="0" borderId="56" xfId="2" applyNumberFormat="1" applyFont="1" applyFill="1" applyBorder="1" applyAlignment="1">
      <alignment vertical="center"/>
    </xf>
    <xf numFmtId="0" fontId="8" fillId="0" borderId="73" xfId="0" applyFont="1" applyBorder="1" applyAlignment="1">
      <alignment horizontal="left" vertical="center"/>
    </xf>
    <xf numFmtId="0" fontId="19" fillId="0" borderId="74" xfId="0" applyFont="1" applyBorder="1" applyAlignment="1">
      <alignment horizontal="center" vertical="center" wrapText="1"/>
    </xf>
    <xf numFmtId="0" fontId="9" fillId="0" borderId="62" xfId="0" applyFont="1" applyBorder="1" applyAlignment="1">
      <alignment horizontal="center" vertical="center"/>
    </xf>
    <xf numFmtId="0" fontId="19" fillId="0" borderId="49" xfId="0" applyFont="1" applyBorder="1" applyAlignment="1">
      <alignment horizontal="center" vertical="center"/>
    </xf>
    <xf numFmtId="0" fontId="8" fillId="0" borderId="70" xfId="0" applyFont="1" applyBorder="1" applyAlignment="1">
      <alignment horizontal="left" vertical="center"/>
    </xf>
    <xf numFmtId="2" fontId="19" fillId="0" borderId="74" xfId="0" applyNumberFormat="1" applyFont="1" applyBorder="1" applyAlignment="1">
      <alignment horizontal="center" vertical="center" wrapText="1"/>
    </xf>
    <xf numFmtId="0" fontId="9" fillId="0" borderId="51" xfId="0" applyFont="1" applyBorder="1" applyAlignment="1">
      <alignment horizontal="center" vertical="center" wrapText="1"/>
    </xf>
    <xf numFmtId="0" fontId="9" fillId="0" borderId="48" xfId="0" applyFont="1" applyBorder="1" applyAlignment="1">
      <alignment horizontal="center" vertical="center" wrapText="1"/>
    </xf>
    <xf numFmtId="2" fontId="10" fillId="0" borderId="48" xfId="2" applyNumberFormat="1" applyFont="1" applyFill="1" applyBorder="1" applyAlignment="1">
      <alignment vertical="center"/>
    </xf>
    <xf numFmtId="2" fontId="10" fillId="0" borderId="58" xfId="2" applyNumberFormat="1" applyFont="1" applyFill="1" applyBorder="1" applyAlignment="1">
      <alignment vertical="center"/>
    </xf>
    <xf numFmtId="0" fontId="8" fillId="0" borderId="63" xfId="0" applyFont="1" applyBorder="1" applyAlignment="1">
      <alignment horizontal="left" vertical="center"/>
    </xf>
    <xf numFmtId="0" fontId="9" fillId="0" borderId="53" xfId="0" applyFont="1" applyBorder="1" applyAlignment="1">
      <alignment horizontal="center" vertical="center" wrapText="1"/>
    </xf>
    <xf numFmtId="2" fontId="10" fillId="0" borderId="53" xfId="2" applyNumberFormat="1" applyFont="1" applyFill="1" applyBorder="1" applyAlignment="1">
      <alignment vertical="center"/>
    </xf>
    <xf numFmtId="2" fontId="10" fillId="0" borderId="64" xfId="2" applyNumberFormat="1" applyFont="1" applyFill="1" applyBorder="1" applyAlignment="1">
      <alignment vertical="center"/>
    </xf>
    <xf numFmtId="0" fontId="8" fillId="0" borderId="38" xfId="0" applyFont="1" applyBorder="1" applyAlignment="1">
      <alignment horizontal="left" vertical="center"/>
    </xf>
    <xf numFmtId="2" fontId="10" fillId="0" borderId="35" xfId="2" applyNumberFormat="1" applyFont="1" applyFill="1" applyBorder="1" applyAlignment="1">
      <alignment vertical="center"/>
    </xf>
    <xf numFmtId="2" fontId="10" fillId="0" borderId="36" xfId="2" applyNumberFormat="1" applyFont="1" applyFill="1" applyBorder="1" applyAlignment="1">
      <alignment vertical="center"/>
    </xf>
    <xf numFmtId="0" fontId="8" fillId="0" borderId="57" xfId="0" applyFont="1" applyBorder="1" applyAlignment="1">
      <alignment horizontal="left" vertical="center"/>
    </xf>
    <xf numFmtId="0" fontId="19" fillId="0" borderId="48" xfId="0" applyFont="1" applyBorder="1" applyAlignment="1">
      <alignment horizontal="center" vertical="center"/>
    </xf>
    <xf numFmtId="0" fontId="19" fillId="0" borderId="48" xfId="0" applyFont="1" applyBorder="1" applyAlignment="1">
      <alignment horizontal="center" vertical="center" wrapText="1"/>
    </xf>
    <xf numFmtId="0" fontId="9" fillId="0" borderId="62" xfId="0" applyFont="1" applyBorder="1" applyAlignment="1">
      <alignment horizontal="center" vertical="center" wrapText="1"/>
    </xf>
    <xf numFmtId="43" fontId="0" fillId="0" borderId="0" xfId="0" applyNumberFormat="1"/>
    <xf numFmtId="0" fontId="4" fillId="0" borderId="35" xfId="0" applyFont="1" applyFill="1" applyBorder="1" applyAlignment="1">
      <alignment vertical="center" wrapText="1"/>
    </xf>
    <xf numFmtId="0" fontId="0" fillId="0" borderId="0" xfId="0" applyFill="1"/>
    <xf numFmtId="0" fontId="0" fillId="0" borderId="9" xfId="0" applyFill="1" applyBorder="1" applyAlignment="1">
      <alignment horizontal="center" vertical="center"/>
    </xf>
    <xf numFmtId="0" fontId="4" fillId="0" borderId="10" xfId="0" applyFont="1" applyFill="1" applyBorder="1" applyAlignment="1">
      <alignment vertical="center" wrapText="1"/>
    </xf>
    <xf numFmtId="8" fontId="0" fillId="0" borderId="20" xfId="0" applyNumberFormat="1" applyFill="1" applyBorder="1"/>
    <xf numFmtId="164" fontId="0" fillId="0" borderId="24" xfId="0" applyNumberFormat="1" applyFill="1" applyBorder="1"/>
    <xf numFmtId="0" fontId="0" fillId="0" borderId="10" xfId="0" applyFill="1" applyBorder="1"/>
    <xf numFmtId="2" fontId="0" fillId="0" borderId="41" xfId="0" applyNumberFormat="1" applyBorder="1" applyAlignment="1">
      <alignment horizontal="center"/>
    </xf>
    <xf numFmtId="2" fontId="0" fillId="0" borderId="48" xfId="0" applyNumberFormat="1" applyBorder="1" applyAlignment="1">
      <alignment horizontal="center"/>
    </xf>
    <xf numFmtId="2" fontId="0" fillId="0" borderId="41" xfId="0" applyNumberFormat="1" applyFill="1" applyBorder="1" applyAlignment="1">
      <alignment horizontal="center"/>
    </xf>
    <xf numFmtId="8" fontId="0" fillId="0" borderId="35" xfId="0" applyNumberFormat="1" applyFill="1" applyBorder="1"/>
    <xf numFmtId="0" fontId="0" fillId="0" borderId="11" xfId="0" applyFill="1" applyBorder="1"/>
    <xf numFmtId="0" fontId="0" fillId="0" borderId="118" xfId="0" applyFill="1" applyBorder="1" applyAlignment="1">
      <alignment horizontal="center" vertical="center"/>
    </xf>
    <xf numFmtId="0" fontId="0" fillId="0" borderId="39" xfId="0" applyFill="1" applyBorder="1" applyAlignment="1">
      <alignment horizontal="left" vertical="center"/>
    </xf>
    <xf numFmtId="0" fontId="18" fillId="0" borderId="11" xfId="0" applyFont="1" applyFill="1" applyBorder="1" applyAlignment="1">
      <alignment horizontal="left" vertical="top" wrapText="1" indent="1"/>
    </xf>
    <xf numFmtId="0" fontId="0" fillId="0" borderId="40" xfId="0" applyFill="1" applyBorder="1" applyAlignment="1">
      <alignment horizontal="left" vertical="center"/>
    </xf>
    <xf numFmtId="0" fontId="0" fillId="0" borderId="96" xfId="0" applyFill="1" applyBorder="1" applyAlignment="1">
      <alignment horizontal="center" vertical="center"/>
    </xf>
    <xf numFmtId="0" fontId="0" fillId="0" borderId="109" xfId="0" applyFill="1" applyBorder="1" applyAlignment="1">
      <alignment horizontal="center"/>
    </xf>
    <xf numFmtId="0" fontId="0" fillId="0" borderId="44" xfId="0" applyFill="1" applyBorder="1" applyAlignment="1">
      <alignment horizontal="center" vertical="center"/>
    </xf>
    <xf numFmtId="0" fontId="0" fillId="0" borderId="21" xfId="0" applyFill="1" applyBorder="1" applyAlignment="1">
      <alignment horizontal="center"/>
    </xf>
    <xf numFmtId="0" fontId="0" fillId="0" borderId="20" xfId="0" applyFill="1" applyBorder="1" applyAlignment="1">
      <alignment horizontal="center" vertical="center"/>
    </xf>
    <xf numFmtId="0" fontId="0" fillId="0" borderId="11" xfId="0" applyFill="1" applyBorder="1" applyAlignment="1">
      <alignment horizontal="center"/>
    </xf>
    <xf numFmtId="0" fontId="0" fillId="0" borderId="32" xfId="0" applyFill="1" applyBorder="1" applyAlignment="1">
      <alignment horizontal="center"/>
    </xf>
    <xf numFmtId="0" fontId="0" fillId="0" borderId="35" xfId="0" applyFill="1" applyBorder="1" applyAlignment="1">
      <alignment horizontal="center"/>
    </xf>
    <xf numFmtId="0" fontId="0" fillId="0" borderId="19" xfId="0" applyFill="1" applyBorder="1" applyAlignment="1">
      <alignment horizontal="center" vertical="center"/>
    </xf>
    <xf numFmtId="0" fontId="4" fillId="0" borderId="31" xfId="0" applyFont="1" applyFill="1" applyBorder="1" applyAlignment="1">
      <alignment vertical="center" wrapText="1"/>
    </xf>
    <xf numFmtId="0" fontId="0" fillId="0" borderId="25" xfId="0" applyFill="1" applyBorder="1" applyAlignment="1">
      <alignment horizontal="center" vertical="center"/>
    </xf>
    <xf numFmtId="0" fontId="4" fillId="0" borderId="20" xfId="0" applyFont="1" applyFill="1" applyBorder="1" applyAlignment="1">
      <alignment vertical="center" wrapText="1"/>
    </xf>
    <xf numFmtId="0" fontId="9" fillId="0" borderId="10" xfId="0" applyFont="1" applyFill="1" applyBorder="1" applyAlignment="1">
      <alignment vertical="top"/>
    </xf>
    <xf numFmtId="0" fontId="0" fillId="0" borderId="33" xfId="0" applyFill="1" applyBorder="1" applyAlignment="1">
      <alignment horizontal="center" vertical="center"/>
    </xf>
    <xf numFmtId="0" fontId="0" fillId="0" borderId="128" xfId="0" applyFill="1" applyBorder="1" applyAlignment="1">
      <alignment horizontal="center" vertical="center"/>
    </xf>
    <xf numFmtId="0" fontId="0" fillId="0" borderId="129" xfId="0" applyFill="1" applyBorder="1" applyAlignment="1">
      <alignment horizontal="center" vertical="center"/>
    </xf>
    <xf numFmtId="0" fontId="0" fillId="0" borderId="10" xfId="0" applyFill="1" applyBorder="1" applyAlignment="1">
      <alignment horizontal="center"/>
    </xf>
    <xf numFmtId="0" fontId="0" fillId="0" borderId="124" xfId="0" applyFill="1" applyBorder="1" applyAlignment="1">
      <alignment horizontal="center" vertical="center"/>
    </xf>
    <xf numFmtId="0" fontId="0" fillId="0" borderId="123" xfId="0" applyFill="1" applyBorder="1" applyAlignment="1">
      <alignment horizontal="center" vertical="center"/>
    </xf>
    <xf numFmtId="8" fontId="0" fillId="0" borderId="35" xfId="0" applyNumberFormat="1" applyFill="1" applyBorder="1" applyAlignment="1"/>
    <xf numFmtId="0" fontId="0" fillId="0" borderId="71" xfId="0" applyFill="1" applyBorder="1" applyAlignment="1">
      <alignment horizontal="center"/>
    </xf>
    <xf numFmtId="0" fontId="0" fillId="0" borderId="80" xfId="0" applyFill="1" applyBorder="1" applyAlignment="1">
      <alignment horizontal="center"/>
    </xf>
    <xf numFmtId="0" fontId="0" fillId="0" borderId="114" xfId="0" applyFill="1" applyBorder="1" applyAlignment="1">
      <alignment horizontal="center" vertical="center"/>
    </xf>
    <xf numFmtId="0" fontId="4" fillId="0" borderId="10" xfId="0" applyFont="1" applyFill="1" applyBorder="1" applyAlignment="1">
      <alignment vertical="center"/>
    </xf>
    <xf numFmtId="0" fontId="0" fillId="0" borderId="10" xfId="0" applyFill="1" applyBorder="1" applyAlignment="1">
      <alignment vertical="center"/>
    </xf>
    <xf numFmtId="2" fontId="0" fillId="0" borderId="23" xfId="0" applyNumberFormat="1" applyFill="1" applyBorder="1" applyAlignment="1">
      <alignment horizontal="center"/>
    </xf>
    <xf numFmtId="2" fontId="0" fillId="0" borderId="30" xfId="0" applyNumberFormat="1" applyFill="1" applyBorder="1" applyAlignment="1">
      <alignment horizontal="center"/>
    </xf>
    <xf numFmtId="8" fontId="0" fillId="0" borderId="29" xfId="0" applyNumberFormat="1" applyFill="1" applyBorder="1"/>
    <xf numFmtId="2" fontId="0" fillId="0" borderId="0" xfId="0" applyNumberFormat="1" applyFill="1"/>
    <xf numFmtId="44" fontId="12" fillId="6" borderId="0" xfId="0" applyNumberFormat="1" applyFont="1" applyFill="1" applyBorder="1" applyAlignment="1">
      <alignment vertical="center"/>
    </xf>
    <xf numFmtId="164" fontId="0" fillId="0" borderId="76" xfId="0" applyNumberFormat="1" applyFill="1" applyBorder="1"/>
    <xf numFmtId="2" fontId="0" fillId="0" borderId="149" xfId="0" applyNumberFormat="1" applyBorder="1" applyAlignment="1">
      <alignment horizontal="center"/>
    </xf>
    <xf numFmtId="8" fontId="0" fillId="7" borderId="147" xfId="0" applyNumberFormat="1" applyFill="1" applyBorder="1"/>
    <xf numFmtId="164" fontId="0" fillId="7" borderId="27" xfId="0" applyNumberFormat="1" applyFill="1" applyBorder="1"/>
    <xf numFmtId="0" fontId="0" fillId="7" borderId="1" xfId="0" applyFill="1" applyBorder="1" applyAlignment="1">
      <alignment horizontal="center" vertical="center"/>
    </xf>
    <xf numFmtId="0" fontId="4" fillId="7" borderId="2" xfId="0" applyFont="1" applyFill="1" applyBorder="1" applyAlignment="1">
      <alignment vertical="center" wrapText="1"/>
    </xf>
    <xf numFmtId="0" fontId="4" fillId="7" borderId="2" xfId="0" applyFont="1" applyFill="1" applyBorder="1" applyAlignment="1">
      <alignment horizontal="center" vertical="center" wrapText="1"/>
    </xf>
    <xf numFmtId="0" fontId="0" fillId="7" borderId="2" xfId="0" applyFill="1" applyBorder="1" applyAlignment="1">
      <alignment horizontal="center"/>
    </xf>
    <xf numFmtId="2" fontId="0" fillId="7" borderId="2" xfId="0" applyNumberFormat="1" applyFill="1" applyBorder="1" applyAlignment="1">
      <alignment horizontal="center"/>
    </xf>
    <xf numFmtId="8" fontId="0" fillId="7" borderId="2" xfId="0" applyNumberFormat="1" applyFill="1" applyBorder="1"/>
    <xf numFmtId="164" fontId="0" fillId="7" borderId="6" xfId="0" applyNumberFormat="1" applyFill="1" applyBorder="1"/>
    <xf numFmtId="2" fontId="0" fillId="0" borderId="150" xfId="0" applyNumberFormat="1" applyBorder="1" applyAlignment="1">
      <alignment horizontal="center"/>
    </xf>
    <xf numFmtId="0" fontId="5" fillId="4" borderId="115" xfId="0" applyFont="1" applyFill="1" applyBorder="1" applyAlignment="1">
      <alignment horizontal="center" vertical="top"/>
    </xf>
    <xf numFmtId="0" fontId="5" fillId="4" borderId="15" xfId="0" applyFont="1" applyFill="1" applyBorder="1" applyAlignment="1">
      <alignment vertical="top"/>
    </xf>
    <xf numFmtId="0" fontId="0" fillId="4" borderId="15" xfId="0" applyFill="1" applyBorder="1"/>
    <xf numFmtId="2" fontId="0" fillId="4" borderId="15" xfId="0" applyNumberFormat="1" applyFill="1" applyBorder="1" applyAlignment="1">
      <alignment horizontal="center"/>
    </xf>
    <xf numFmtId="8" fontId="0" fillId="4" borderId="15" xfId="0" applyNumberFormat="1" applyFill="1" applyBorder="1"/>
    <xf numFmtId="164" fontId="0" fillId="4" borderId="28" xfId="0" applyNumberFormat="1" applyFill="1" applyBorder="1"/>
    <xf numFmtId="0" fontId="0" fillId="3" borderId="2" xfId="0" applyFill="1" applyBorder="1"/>
    <xf numFmtId="2" fontId="0" fillId="3" borderId="2" xfId="0" applyNumberFormat="1" applyFill="1" applyBorder="1" applyAlignment="1">
      <alignment horizontal="center"/>
    </xf>
    <xf numFmtId="8" fontId="0" fillId="3" borderId="2" xfId="0" applyNumberFormat="1" applyFill="1" applyBorder="1"/>
    <xf numFmtId="164" fontId="0" fillId="3" borderId="6" xfId="0" applyNumberFormat="1" applyFill="1" applyBorder="1"/>
    <xf numFmtId="0" fontId="0" fillId="0" borderId="29" xfId="0" applyFill="1" applyBorder="1" applyAlignment="1">
      <alignment horizontal="center" vertical="center"/>
    </xf>
    <xf numFmtId="0" fontId="0" fillId="0" borderId="20" xfId="0" applyFill="1" applyBorder="1" applyAlignment="1">
      <alignment vertical="center"/>
    </xf>
    <xf numFmtId="2" fontId="0" fillId="0" borderId="149" xfId="0" applyNumberFormat="1" applyFill="1" applyBorder="1" applyAlignment="1">
      <alignment horizontal="center"/>
    </xf>
    <xf numFmtId="8" fontId="0" fillId="0" borderId="32" xfId="0" applyNumberFormat="1" applyFill="1" applyBorder="1" applyAlignment="1"/>
    <xf numFmtId="0" fontId="0" fillId="7" borderId="2" xfId="0" applyFill="1" applyBorder="1" applyAlignment="1">
      <alignment horizontal="left" vertical="center"/>
    </xf>
    <xf numFmtId="0" fontId="4" fillId="3" borderId="115" xfId="0" applyFont="1" applyFill="1" applyBorder="1" applyAlignment="1">
      <alignment horizontal="center"/>
    </xf>
    <xf numFmtId="0" fontId="0" fillId="3" borderId="15" xfId="0" applyFill="1" applyBorder="1"/>
    <xf numFmtId="2" fontId="0" fillId="3" borderId="15" xfId="0" applyNumberFormat="1" applyFill="1" applyBorder="1" applyAlignment="1">
      <alignment horizontal="center"/>
    </xf>
    <xf numFmtId="8" fontId="0" fillId="3" borderId="15" xfId="0" applyNumberFormat="1" applyFill="1" applyBorder="1"/>
    <xf numFmtId="164" fontId="0" fillId="3" borderId="28" xfId="0" applyNumberFormat="1" applyFill="1" applyBorder="1"/>
    <xf numFmtId="0" fontId="0" fillId="7" borderId="2" xfId="0" applyFill="1" applyBorder="1" applyAlignment="1">
      <alignment horizontal="center" vertical="center"/>
    </xf>
    <xf numFmtId="0" fontId="4" fillId="7" borderId="2" xfId="0" applyFont="1" applyFill="1" applyBorder="1" applyAlignment="1">
      <alignment horizontal="left" vertical="center"/>
    </xf>
    <xf numFmtId="0" fontId="0" fillId="0" borderId="31" xfId="0" applyFill="1" applyBorder="1" applyAlignment="1">
      <alignment vertical="center"/>
    </xf>
    <xf numFmtId="2" fontId="0" fillId="0" borderId="150" xfId="0" applyNumberFormat="1" applyFill="1" applyBorder="1" applyAlignment="1">
      <alignment horizontal="center"/>
    </xf>
    <xf numFmtId="8" fontId="0" fillId="0" borderId="31" xfId="0" applyNumberFormat="1" applyFill="1" applyBorder="1"/>
    <xf numFmtId="0" fontId="0" fillId="7" borderId="153" xfId="0" applyFill="1" applyBorder="1" applyAlignment="1">
      <alignment horizontal="center" vertical="center"/>
    </xf>
    <xf numFmtId="2" fontId="0" fillId="7" borderId="153" xfId="0" applyNumberFormat="1" applyFill="1" applyBorder="1" applyAlignment="1">
      <alignment horizontal="center"/>
    </xf>
    <xf numFmtId="0" fontId="0" fillId="0" borderId="31" xfId="0" applyFill="1" applyBorder="1"/>
    <xf numFmtId="0" fontId="0" fillId="0" borderId="154" xfId="0" applyFill="1" applyBorder="1" applyAlignment="1">
      <alignment horizontal="center"/>
    </xf>
    <xf numFmtId="0" fontId="0" fillId="0" borderId="66" xfId="0" applyFill="1" applyBorder="1"/>
    <xf numFmtId="0" fontId="0" fillId="3" borderId="2" xfId="0" applyFill="1" applyBorder="1" applyAlignment="1">
      <alignment horizontal="left"/>
    </xf>
    <xf numFmtId="0" fontId="0" fillId="0" borderId="156" xfId="0" applyBorder="1"/>
    <xf numFmtId="2" fontId="0" fillId="0" borderId="156" xfId="0" applyNumberFormat="1" applyBorder="1" applyAlignment="1">
      <alignment horizontal="center"/>
    </xf>
    <xf numFmtId="0" fontId="0" fillId="0" borderId="157" xfId="0" applyBorder="1"/>
    <xf numFmtId="2" fontId="0" fillId="0" borderId="99" xfId="0" applyNumberFormat="1" applyBorder="1" applyAlignment="1">
      <alignment horizontal="center"/>
    </xf>
    <xf numFmtId="166" fontId="5" fillId="0" borderId="0" xfId="1" applyNumberFormat="1" applyFont="1" applyFill="1" applyBorder="1" applyAlignment="1">
      <alignment horizontal="center" vertical="top"/>
    </xf>
    <xf numFmtId="2" fontId="0" fillId="0" borderId="10" xfId="0" applyNumberFormat="1" applyFill="1" applyBorder="1" applyAlignment="1">
      <alignment horizontal="center"/>
    </xf>
    <xf numFmtId="8" fontId="0" fillId="0" borderId="10" xfId="0" applyNumberFormat="1" applyFill="1" applyBorder="1"/>
    <xf numFmtId="164" fontId="0" fillId="0" borderId="14" xfId="0" applyNumberFormat="1" applyFill="1" applyBorder="1"/>
    <xf numFmtId="8" fontId="0" fillId="0" borderId="0" xfId="0" applyNumberFormat="1"/>
    <xf numFmtId="0" fontId="5" fillId="4" borderId="2" xfId="0" applyFont="1" applyFill="1" applyBorder="1" applyAlignment="1">
      <alignment vertical="top"/>
    </xf>
    <xf numFmtId="0" fontId="5" fillId="4" borderId="6" xfId="0" applyFont="1" applyFill="1" applyBorder="1" applyAlignment="1">
      <alignment vertical="top"/>
    </xf>
    <xf numFmtId="44" fontId="0" fillId="0" borderId="0" xfId="0" applyNumberFormat="1"/>
    <xf numFmtId="0" fontId="0" fillId="0" borderId="0" xfId="0" applyBorder="1"/>
    <xf numFmtId="0" fontId="8" fillId="0" borderId="0" xfId="0" applyFont="1" applyBorder="1" applyAlignment="1">
      <alignment horizontal="left" vertical="center"/>
    </xf>
    <xf numFmtId="0" fontId="9" fillId="0" borderId="0" xfId="0" applyFont="1" applyBorder="1" applyAlignment="1">
      <alignment horizontal="left" vertical="center" wrapText="1"/>
    </xf>
    <xf numFmtId="2" fontId="0" fillId="0" borderId="0" xfId="0" applyNumberFormat="1" applyBorder="1" applyAlignment="1">
      <alignment horizontal="left"/>
    </xf>
    <xf numFmtId="2" fontId="0" fillId="0" borderId="0" xfId="0" applyNumberFormat="1" applyBorder="1" applyAlignment="1">
      <alignment horizontal="center"/>
    </xf>
    <xf numFmtId="8" fontId="0" fillId="0" borderId="0" xfId="0" applyNumberFormat="1" applyBorder="1"/>
    <xf numFmtId="164" fontId="0" fillId="0" borderId="0" xfId="0" applyNumberFormat="1" applyBorder="1"/>
    <xf numFmtId="0" fontId="0" fillId="0" borderId="0" xfId="0" applyAlignment="1">
      <alignment horizontal="right"/>
    </xf>
    <xf numFmtId="0" fontId="5" fillId="4" borderId="2" xfId="0" applyFont="1" applyFill="1" applyBorder="1" applyAlignment="1">
      <alignment horizontal="center" vertical="top"/>
    </xf>
    <xf numFmtId="2" fontId="19" fillId="0" borderId="87" xfId="0" applyNumberFormat="1" applyFont="1" applyBorder="1" applyAlignment="1">
      <alignment horizontal="center" vertical="center" wrapText="1"/>
    </xf>
    <xf numFmtId="0" fontId="19" fillId="0" borderId="84" xfId="0" applyFont="1" applyBorder="1" applyAlignment="1">
      <alignment horizontal="center" vertical="center" wrapText="1"/>
    </xf>
    <xf numFmtId="0" fontId="9" fillId="0" borderId="159"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74" xfId="0" applyFont="1" applyBorder="1" applyAlignment="1">
      <alignment horizontal="center" vertical="center"/>
    </xf>
    <xf numFmtId="0" fontId="1" fillId="0" borderId="115" xfId="0" applyFont="1" applyBorder="1"/>
    <xf numFmtId="0" fontId="0" fillId="0" borderId="15" xfId="0" applyBorder="1"/>
    <xf numFmtId="0" fontId="0" fillId="0" borderId="28" xfId="0" applyBorder="1"/>
    <xf numFmtId="0" fontId="1" fillId="0" borderId="4" xfId="0" applyFont="1" applyBorder="1"/>
    <xf numFmtId="0" fontId="0" fillId="0" borderId="5" xfId="0" applyBorder="1"/>
    <xf numFmtId="0" fontId="0" fillId="0" borderId="151" xfId="0" applyBorder="1"/>
    <xf numFmtId="0" fontId="1" fillId="0" borderId="147" xfId="0" applyFont="1" applyBorder="1" applyAlignment="1">
      <alignment horizontal="center" vertical="center"/>
    </xf>
    <xf numFmtId="0" fontId="1" fillId="0" borderId="147" xfId="0" applyFont="1" applyBorder="1" applyAlignment="1">
      <alignment horizontal="center" vertical="center" wrapText="1"/>
    </xf>
    <xf numFmtId="0" fontId="0" fillId="0" borderId="1" xfId="0" applyBorder="1"/>
    <xf numFmtId="0" fontId="0" fillId="0" borderId="2" xfId="0" applyBorder="1"/>
    <xf numFmtId="2" fontId="0" fillId="0" borderId="2" xfId="0" applyNumberFormat="1" applyBorder="1" applyAlignment="1">
      <alignment horizontal="center" vertical="center"/>
    </xf>
    <xf numFmtId="2" fontId="0" fillId="0" borderId="2" xfId="0" applyNumberFormat="1" applyBorder="1" applyAlignment="1">
      <alignment horizontal="right" vertical="center"/>
    </xf>
    <xf numFmtId="43" fontId="0" fillId="0" borderId="2" xfId="2" applyFont="1" applyBorder="1" applyAlignment="1">
      <alignment horizontal="right" vertical="center"/>
    </xf>
    <xf numFmtId="43" fontId="0" fillId="0" borderId="2" xfId="0" applyNumberFormat="1" applyBorder="1" applyAlignment="1">
      <alignment horizontal="right" vertical="center"/>
    </xf>
    <xf numFmtId="0" fontId="0" fillId="0" borderId="0" xfId="0" applyAlignment="1">
      <alignment horizontal="right" vertical="center"/>
    </xf>
    <xf numFmtId="43" fontId="0" fillId="0" borderId="0" xfId="2" applyFont="1" applyAlignment="1">
      <alignment horizontal="right" vertical="center"/>
    </xf>
    <xf numFmtId="43" fontId="0" fillId="0" borderId="6" xfId="2" applyFont="1" applyBorder="1" applyAlignment="1">
      <alignment horizontal="right" vertical="center"/>
    </xf>
    <xf numFmtId="2" fontId="0" fillId="0" borderId="0" xfId="0" applyNumberFormat="1" applyAlignment="1">
      <alignment horizontal="center" vertical="center"/>
    </xf>
    <xf numFmtId="43" fontId="0" fillId="0" borderId="0" xfId="2" applyFont="1" applyBorder="1" applyAlignment="1">
      <alignment horizontal="right" vertical="center"/>
    </xf>
    <xf numFmtId="2" fontId="0" fillId="0" borderId="1" xfId="0" applyNumberFormat="1" applyBorder="1"/>
    <xf numFmtId="43" fontId="0" fillId="0" borderId="0" xfId="2" applyFont="1" applyAlignment="1">
      <alignment horizontal="right"/>
    </xf>
    <xf numFmtId="0" fontId="0" fillId="0" borderId="1" xfId="0" applyBorder="1" applyAlignment="1">
      <alignment horizontal="center" vertical="center"/>
    </xf>
    <xf numFmtId="43" fontId="21" fillId="0" borderId="2" xfId="2" applyFont="1" applyBorder="1" applyAlignment="1">
      <alignment horizontal="right"/>
    </xf>
    <xf numFmtId="43" fontId="21" fillId="0" borderId="6" xfId="2" applyFont="1" applyBorder="1" applyAlignment="1">
      <alignment horizontal="right"/>
    </xf>
    <xf numFmtId="43" fontId="0" fillId="0" borderId="0" xfId="0" applyNumberFormat="1" applyAlignment="1">
      <alignment horizontal="right"/>
    </xf>
    <xf numFmtId="0" fontId="1" fillId="0" borderId="145" xfId="0" applyFont="1" applyBorder="1" applyAlignment="1">
      <alignment horizontal="center" vertical="center" wrapText="1"/>
    </xf>
    <xf numFmtId="2" fontId="0" fillId="0" borderId="151" xfId="0" applyNumberFormat="1" applyBorder="1" applyAlignment="1">
      <alignment horizontal="right" vertical="center"/>
    </xf>
    <xf numFmtId="0" fontId="1" fillId="0" borderId="3" xfId="0" applyFont="1" applyBorder="1" applyAlignment="1">
      <alignment horizontal="center" vertical="center"/>
    </xf>
    <xf numFmtId="0" fontId="0" fillId="0" borderId="0" xfId="0" applyAlignment="1"/>
    <xf numFmtId="0" fontId="11" fillId="2" borderId="15" xfId="0" applyFont="1" applyFill="1" applyBorder="1"/>
    <xf numFmtId="2" fontId="11" fillId="2" borderId="15" xfId="0" applyNumberFormat="1" applyFont="1" applyFill="1" applyBorder="1" applyAlignment="1">
      <alignment horizontal="center"/>
    </xf>
    <xf numFmtId="164" fontId="11" fillId="2" borderId="15" xfId="0" applyNumberFormat="1" applyFont="1" applyFill="1" applyBorder="1"/>
    <xf numFmtId="165" fontId="0" fillId="2" borderId="28" xfId="1" applyFont="1" applyFill="1" applyBorder="1"/>
    <xf numFmtId="0" fontId="5" fillId="4" borderId="1" xfId="0" applyFont="1" applyFill="1" applyBorder="1" applyAlignment="1">
      <alignment horizontal="center" vertical="top"/>
    </xf>
    <xf numFmtId="0" fontId="0" fillId="9" borderId="0" xfId="0" applyFill="1"/>
    <xf numFmtId="0" fontId="8" fillId="0" borderId="20" xfId="0" applyFont="1" applyFill="1" applyBorder="1" applyAlignment="1">
      <alignment horizontal="left" vertical="center"/>
    </xf>
    <xf numFmtId="2" fontId="0" fillId="0" borderId="29" xfId="0" applyNumberFormat="1" applyFill="1" applyBorder="1" applyAlignment="1">
      <alignment horizontal="center"/>
    </xf>
    <xf numFmtId="2" fontId="0" fillId="0" borderId="110" xfId="0" applyNumberFormat="1" applyFill="1" applyBorder="1" applyAlignment="1">
      <alignment horizontal="center"/>
    </xf>
    <xf numFmtId="0" fontId="3" fillId="0" borderId="0" xfId="0" applyFont="1" applyFill="1" applyBorder="1" applyAlignment="1">
      <alignment horizontal="center"/>
    </xf>
    <xf numFmtId="10" fontId="3" fillId="0" borderId="0" xfId="3" applyNumberFormat="1" applyFont="1" applyFill="1" applyBorder="1"/>
    <xf numFmtId="0" fontId="3" fillId="0" borderId="0" xfId="0" applyFont="1" applyFill="1" applyBorder="1"/>
    <xf numFmtId="0" fontId="0" fillId="0" borderId="0" xfId="0" applyFill="1" applyBorder="1"/>
    <xf numFmtId="0" fontId="1" fillId="0" borderId="0" xfId="0" applyFont="1"/>
    <xf numFmtId="10" fontId="2" fillId="0" borderId="6" xfId="3" applyNumberFormat="1" applyFont="1" applyBorder="1"/>
    <xf numFmtId="10" fontId="2" fillId="0" borderId="0" xfId="3" applyNumberFormat="1" applyFont="1"/>
    <xf numFmtId="0" fontId="0" fillId="0" borderId="0" xfId="0" applyAlignment="1">
      <alignment horizontal="center"/>
    </xf>
    <xf numFmtId="0" fontId="0" fillId="0" borderId="155" xfId="0" applyBorder="1" applyAlignment="1">
      <alignment horizontal="center"/>
    </xf>
    <xf numFmtId="0" fontId="0" fillId="0" borderId="96" xfId="0" applyBorder="1" applyAlignment="1">
      <alignment horizontal="center"/>
    </xf>
    <xf numFmtId="0" fontId="11" fillId="0" borderId="96" xfId="0" applyFont="1" applyBorder="1" applyAlignment="1">
      <alignment horizontal="center"/>
    </xf>
    <xf numFmtId="0" fontId="0" fillId="0" borderId="98" xfId="0" applyBorder="1" applyAlignment="1">
      <alignment horizontal="center"/>
    </xf>
    <xf numFmtId="0" fontId="0" fillId="0" borderId="33" xfId="0" applyFill="1" applyBorder="1" applyAlignment="1">
      <alignment horizontal="center"/>
    </xf>
    <xf numFmtId="0" fontId="0" fillId="0" borderId="128" xfId="0" applyFill="1" applyBorder="1" applyAlignment="1">
      <alignment horizontal="center"/>
    </xf>
    <xf numFmtId="0" fontId="0" fillId="0" borderId="114" xfId="0" applyFill="1" applyBorder="1" applyAlignment="1">
      <alignment horizontal="center"/>
    </xf>
    <xf numFmtId="0" fontId="0" fillId="0" borderId="9" xfId="0" applyFill="1" applyBorder="1" applyAlignment="1">
      <alignment horizontal="center"/>
    </xf>
    <xf numFmtId="0" fontId="0" fillId="0" borderId="25" xfId="0"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165" fontId="0" fillId="0" borderId="10" xfId="1" applyFont="1" applyFill="1" applyBorder="1" applyAlignment="1">
      <alignment horizontal="left"/>
    </xf>
    <xf numFmtId="165" fontId="0" fillId="0" borderId="10" xfId="0" applyNumberFormat="1" applyFill="1" applyBorder="1" applyAlignment="1">
      <alignment horizontal="right" vertical="center"/>
    </xf>
    <xf numFmtId="165" fontId="6" fillId="0" borderId="10" xfId="1" applyFont="1" applyFill="1" applyBorder="1" applyAlignment="1">
      <alignment horizontal="center" vertical="center"/>
    </xf>
    <xf numFmtId="165" fontId="0" fillId="0" borderId="10" xfId="1" applyFont="1" applyFill="1" applyBorder="1"/>
    <xf numFmtId="2" fontId="0" fillId="0" borderId="41" xfId="0" applyNumberFormat="1" applyFill="1" applyBorder="1" applyAlignment="1"/>
    <xf numFmtId="0" fontId="0" fillId="0" borderId="10" xfId="0" applyFill="1" applyBorder="1" applyAlignment="1">
      <alignment horizontal="left"/>
    </xf>
    <xf numFmtId="165" fontId="0" fillId="0" borderId="16" xfId="1" applyFont="1" applyFill="1" applyBorder="1"/>
    <xf numFmtId="2" fontId="0" fillId="0" borderId="16" xfId="0" applyNumberFormat="1" applyFill="1" applyBorder="1" applyAlignment="1">
      <alignment horizontal="center"/>
    </xf>
    <xf numFmtId="165" fontId="0" fillId="0" borderId="16" xfId="0" applyNumberFormat="1" applyFill="1" applyBorder="1" applyAlignment="1">
      <alignment horizontal="right" vertical="center"/>
    </xf>
    <xf numFmtId="2" fontId="0" fillId="0" borderId="146" xfId="0" applyNumberFormat="1" applyFill="1" applyBorder="1" applyAlignment="1">
      <alignment horizontal="center"/>
    </xf>
    <xf numFmtId="0" fontId="0" fillId="10" borderId="10" xfId="0" applyFill="1" applyBorder="1" applyAlignment="1">
      <alignment vertical="center"/>
    </xf>
    <xf numFmtId="0" fontId="0" fillId="10" borderId="10" xfId="0" applyFill="1" applyBorder="1" applyAlignment="1">
      <alignment horizontal="left"/>
    </xf>
    <xf numFmtId="2" fontId="0" fillId="10" borderId="10" xfId="0" applyNumberFormat="1" applyFill="1" applyBorder="1" applyAlignment="1">
      <alignment horizontal="center"/>
    </xf>
    <xf numFmtId="8" fontId="0" fillId="10" borderId="10" xfId="0" applyNumberFormat="1" applyFill="1" applyBorder="1"/>
    <xf numFmtId="0" fontId="0" fillId="0" borderId="77" xfId="0" applyBorder="1" applyAlignment="1">
      <alignment horizontal="center"/>
    </xf>
    <xf numFmtId="0" fontId="0" fillId="0" borderId="165" xfId="0" applyBorder="1"/>
    <xf numFmtId="0" fontId="13" fillId="6" borderId="77" xfId="0" applyFont="1" applyFill="1" applyBorder="1" applyAlignment="1">
      <alignment wrapText="1"/>
    </xf>
    <xf numFmtId="0" fontId="13" fillId="0" borderId="77" xfId="0" applyFont="1" applyBorder="1" applyAlignment="1">
      <alignment wrapText="1"/>
    </xf>
    <xf numFmtId="0" fontId="13" fillId="0" borderId="77" xfId="0" applyFont="1" applyBorder="1" applyAlignment="1">
      <alignment vertical="top"/>
    </xf>
    <xf numFmtId="0" fontId="4" fillId="6" borderId="52" xfId="0" applyFont="1" applyFill="1" applyBorder="1" applyAlignment="1">
      <alignment horizontal="left" vertical="center"/>
    </xf>
    <xf numFmtId="0" fontId="0" fillId="6" borderId="52" xfId="0" applyFill="1" applyBorder="1" applyAlignment="1">
      <alignment horizontal="center" vertical="center"/>
    </xf>
    <xf numFmtId="0" fontId="13" fillId="0" borderId="99" xfId="0" applyFont="1" applyBorder="1"/>
    <xf numFmtId="0" fontId="0" fillId="0" borderId="33" xfId="0" applyFill="1" applyBorder="1"/>
    <xf numFmtId="0" fontId="0" fillId="0" borderId="166" xfId="0" applyBorder="1"/>
    <xf numFmtId="0" fontId="0" fillId="0" borderId="18" xfId="0" applyFill="1" applyBorder="1" applyAlignment="1">
      <alignment horizontal="left"/>
    </xf>
    <xf numFmtId="2" fontId="0" fillId="0" borderId="53" xfId="0" applyNumberFormat="1" applyBorder="1"/>
    <xf numFmtId="2" fontId="0" fillId="0" borderId="14" xfId="0" applyNumberFormat="1" applyFill="1" applyBorder="1"/>
    <xf numFmtId="2" fontId="0" fillId="0" borderId="89" xfId="0" applyNumberFormat="1" applyBorder="1"/>
    <xf numFmtId="2" fontId="0" fillId="0" borderId="88" xfId="0" applyNumberFormat="1" applyBorder="1"/>
    <xf numFmtId="2" fontId="0" fillId="0" borderId="90" xfId="0" applyNumberFormat="1" applyBorder="1"/>
    <xf numFmtId="2" fontId="0" fillId="0" borderId="100" xfId="0" applyNumberFormat="1" applyBorder="1"/>
    <xf numFmtId="2" fontId="0" fillId="0" borderId="48" xfId="0" applyNumberFormat="1" applyBorder="1"/>
    <xf numFmtId="2" fontId="0" fillId="0" borderId="91" xfId="0" applyNumberFormat="1" applyBorder="1" applyAlignment="1">
      <alignment horizontal="center"/>
    </xf>
    <xf numFmtId="2" fontId="0" fillId="0" borderId="14" xfId="0" applyNumberFormat="1" applyBorder="1" applyAlignment="1">
      <alignment horizontal="center"/>
    </xf>
    <xf numFmtId="0" fontId="13" fillId="0" borderId="167" xfId="0" applyFont="1" applyBorder="1" applyAlignment="1">
      <alignment horizontal="center" wrapText="1"/>
    </xf>
    <xf numFmtId="0" fontId="13" fillId="0" borderId="168" xfId="0" applyFont="1" applyBorder="1"/>
    <xf numFmtId="0" fontId="13" fillId="0" borderId="169" xfId="0" applyFont="1" applyBorder="1"/>
    <xf numFmtId="0" fontId="13" fillId="0" borderId="170" xfId="0" applyFont="1" applyBorder="1" applyAlignment="1">
      <alignment horizontal="center" wrapText="1"/>
    </xf>
    <xf numFmtId="0" fontId="13" fillId="0" borderId="77" xfId="0" applyFont="1" applyBorder="1" applyAlignment="1">
      <alignment horizontal="center" wrapText="1"/>
    </xf>
    <xf numFmtId="0" fontId="0" fillId="0" borderId="77" xfId="0" applyBorder="1" applyAlignment="1">
      <alignment horizontal="center" wrapText="1"/>
    </xf>
    <xf numFmtId="0" fontId="0" fillId="0" borderId="77" xfId="0" applyBorder="1"/>
    <xf numFmtId="0" fontId="13" fillId="6" borderId="77" xfId="0" applyFont="1" applyFill="1" applyBorder="1"/>
    <xf numFmtId="0" fontId="13" fillId="0" borderId="77" xfId="0" applyFont="1" applyBorder="1"/>
    <xf numFmtId="0" fontId="13" fillId="0" borderId="77" xfId="0" applyFont="1" applyBorder="1" applyAlignment="1">
      <alignment horizontal="center"/>
    </xf>
    <xf numFmtId="0" fontId="0" fillId="0" borderId="9" xfId="0" applyFill="1" applyBorder="1" applyAlignment="1">
      <alignment vertical="center"/>
    </xf>
    <xf numFmtId="2" fontId="0" fillId="0" borderId="14" xfId="0" applyNumberFormat="1" applyBorder="1"/>
    <xf numFmtId="0" fontId="0" fillId="0" borderId="171" xfId="0" applyBorder="1"/>
    <xf numFmtId="0" fontId="4" fillId="0" borderId="77" xfId="0" applyFont="1" applyBorder="1" applyAlignment="1">
      <alignment horizontal="center" vertical="center" wrapText="1"/>
    </xf>
    <xf numFmtId="0" fontId="14" fillId="6" borderId="77" xfId="0" applyFont="1" applyFill="1" applyBorder="1" applyAlignment="1">
      <alignment wrapText="1"/>
    </xf>
    <xf numFmtId="2" fontId="4" fillId="0" borderId="77" xfId="0" applyNumberFormat="1" applyFont="1" applyBorder="1" applyAlignment="1">
      <alignment vertical="center" wrapText="1"/>
    </xf>
    <xf numFmtId="2" fontId="0" fillId="0" borderId="77" xfId="0" applyNumberFormat="1" applyBorder="1" applyAlignment="1"/>
    <xf numFmtId="0" fontId="14" fillId="0" borderId="77" xfId="0" applyFont="1" applyBorder="1" applyAlignment="1">
      <alignment wrapText="1"/>
    </xf>
    <xf numFmtId="0" fontId="0" fillId="0" borderId="108" xfId="0" quotePrefix="1" applyBorder="1"/>
    <xf numFmtId="0" fontId="0" fillId="0" borderId="14" xfId="0" applyBorder="1"/>
    <xf numFmtId="2" fontId="13" fillId="0" borderId="77" xfId="0" applyNumberFormat="1" applyFont="1" applyBorder="1"/>
    <xf numFmtId="0" fontId="0" fillId="0" borderId="172" xfId="0" applyBorder="1"/>
    <xf numFmtId="0" fontId="4" fillId="0" borderId="35" xfId="0" applyFont="1" applyBorder="1" applyAlignment="1">
      <alignment horizontal="left" vertical="center"/>
    </xf>
    <xf numFmtId="0" fontId="5" fillId="4" borderId="15" xfId="0" applyFont="1" applyFill="1" applyBorder="1" applyAlignment="1">
      <alignment horizontal="center" vertical="top"/>
    </xf>
    <xf numFmtId="0" fontId="4" fillId="0" borderId="35" xfId="0" applyFont="1" applyBorder="1" applyAlignment="1">
      <alignment horizontal="left" vertical="center" wrapText="1"/>
    </xf>
    <xf numFmtId="0" fontId="4" fillId="0" borderId="41" xfId="0" applyFont="1" applyBorder="1" applyAlignment="1">
      <alignment horizontal="left" vertical="center"/>
    </xf>
    <xf numFmtId="0" fontId="0" fillId="0" borderId="74" xfId="0" applyBorder="1" applyAlignment="1">
      <alignment horizontal="center" vertical="center"/>
    </xf>
    <xf numFmtId="2" fontId="4" fillId="0" borderId="74" xfId="0" applyNumberFormat="1" applyFont="1" applyBorder="1" applyAlignment="1">
      <alignment horizontal="center" vertical="center" wrapText="1"/>
    </xf>
    <xf numFmtId="2" fontId="13" fillId="0" borderId="74" xfId="0" applyNumberFormat="1" applyFont="1" applyBorder="1" applyAlignment="1">
      <alignment horizontal="center" vertical="center" wrapText="1"/>
    </xf>
    <xf numFmtId="0" fontId="13" fillId="0" borderId="74" xfId="0" applyFont="1" applyBorder="1" applyAlignment="1">
      <alignment horizontal="center"/>
    </xf>
    <xf numFmtId="0" fontId="0" fillId="0" borderId="74" xfId="0" applyBorder="1" applyAlignment="1">
      <alignment horizontal="center"/>
    </xf>
    <xf numFmtId="2" fontId="13" fillId="0" borderId="77" xfId="0" applyNumberFormat="1" applyFont="1" applyBorder="1" applyAlignment="1">
      <alignment horizontal="center" wrapText="1"/>
    </xf>
    <xf numFmtId="0" fontId="13" fillId="0" borderId="74" xfId="0" applyFont="1" applyBorder="1"/>
    <xf numFmtId="2" fontId="13" fillId="0" borderId="77" xfId="0" applyNumberFormat="1" applyFont="1" applyBorder="1" applyAlignment="1">
      <alignment horizontal="center" vertical="center" wrapText="1"/>
    </xf>
    <xf numFmtId="0" fontId="13" fillId="0" borderId="74" xfId="0" applyFont="1" applyBorder="1" applyAlignment="1">
      <alignment horizontal="center" vertical="center"/>
    </xf>
    <xf numFmtId="2" fontId="13" fillId="0" borderId="74" xfId="0" applyNumberFormat="1" applyFont="1" applyBorder="1" applyAlignment="1">
      <alignment horizontal="center" vertical="center"/>
    </xf>
    <xf numFmtId="0" fontId="13" fillId="0" borderId="74" xfId="0" applyFont="1" applyBorder="1" applyAlignment="1">
      <alignment horizontal="center" vertical="center" wrapText="1"/>
    </xf>
    <xf numFmtId="0" fontId="0" fillId="0" borderId="35" xfId="0" applyBorder="1"/>
    <xf numFmtId="0" fontId="13" fillId="0" borderId="77" xfId="0" applyFont="1" applyBorder="1" applyAlignment="1">
      <alignment horizontal="left" vertical="center" wrapText="1"/>
    </xf>
    <xf numFmtId="0" fontId="13" fillId="0" borderId="77" xfId="0" applyFont="1" applyBorder="1" applyAlignment="1">
      <alignment horizontal="center" vertical="center" wrapText="1"/>
    </xf>
    <xf numFmtId="0" fontId="5" fillId="4" borderId="104" xfId="0" applyFont="1" applyFill="1" applyBorder="1" applyAlignment="1">
      <alignment horizontal="center" vertical="top"/>
    </xf>
    <xf numFmtId="0" fontId="0" fillId="0" borderId="177" xfId="0" applyFill="1" applyBorder="1" applyAlignment="1">
      <alignment horizontal="center"/>
    </xf>
    <xf numFmtId="165" fontId="6" fillId="6" borderId="152" xfId="1" applyFont="1" applyFill="1" applyBorder="1" applyAlignment="1">
      <alignment horizontal="center" vertical="center"/>
    </xf>
    <xf numFmtId="0" fontId="0" fillId="0" borderId="21" xfId="0" applyFill="1" applyBorder="1"/>
    <xf numFmtId="0" fontId="4" fillId="0" borderId="1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39" xfId="0" applyFill="1" applyBorder="1" applyAlignment="1">
      <alignment horizontal="center"/>
    </xf>
    <xf numFmtId="0" fontId="0" fillId="0" borderId="22" xfId="0" applyFill="1" applyBorder="1" applyAlignment="1">
      <alignment horizontal="center"/>
    </xf>
    <xf numFmtId="0" fontId="0" fillId="0" borderId="12" xfId="0" applyFill="1" applyBorder="1" applyAlignment="1">
      <alignment horizontal="center" vertical="center"/>
    </xf>
    <xf numFmtId="0" fontId="0" fillId="0" borderId="12" xfId="0" applyFill="1" applyBorder="1" applyAlignment="1">
      <alignment vertical="center"/>
    </xf>
    <xf numFmtId="0" fontId="0" fillId="0" borderId="12" xfId="0" applyFill="1" applyBorder="1"/>
    <xf numFmtId="0" fontId="0" fillId="0" borderId="41" xfId="0" applyFill="1" applyBorder="1" applyAlignment="1">
      <alignment horizontal="left"/>
    </xf>
    <xf numFmtId="0" fontId="0" fillId="0" borderId="10" xfId="0" applyFill="1" applyBorder="1" applyAlignment="1">
      <alignment horizontal="left" vertical="center"/>
    </xf>
    <xf numFmtId="8" fontId="0" fillId="10" borderId="0" xfId="0" applyNumberFormat="1" applyFill="1" applyBorder="1"/>
    <xf numFmtId="165" fontId="0" fillId="0" borderId="0" xfId="1" applyFont="1" applyFill="1"/>
    <xf numFmtId="2" fontId="0" fillId="0" borderId="0" xfId="0" applyNumberFormat="1" applyFill="1" applyBorder="1" applyAlignment="1">
      <alignment horizontal="center"/>
    </xf>
    <xf numFmtId="0" fontId="8" fillId="0" borderId="10" xfId="0" applyFont="1" applyFill="1" applyBorder="1" applyAlignment="1">
      <alignment horizontal="left" vertical="center"/>
    </xf>
    <xf numFmtId="2" fontId="10" fillId="0" borderId="11" xfId="2" applyNumberFormat="1" applyFont="1" applyFill="1" applyBorder="1" applyAlignment="1">
      <alignment horizontal="center" vertical="center"/>
    </xf>
    <xf numFmtId="0" fontId="13" fillId="0" borderId="179" xfId="0" applyFont="1" applyBorder="1"/>
    <xf numFmtId="0" fontId="13" fillId="0" borderId="181" xfId="0" applyFont="1" applyBorder="1"/>
    <xf numFmtId="0" fontId="0" fillId="0" borderId="180" xfId="0" applyBorder="1" applyAlignment="1"/>
    <xf numFmtId="0" fontId="0" fillId="0" borderId="77" xfId="0" applyBorder="1" applyAlignment="1"/>
    <xf numFmtId="0" fontId="0" fillId="0" borderId="11" xfId="0" applyFill="1" applyBorder="1" applyAlignment="1">
      <alignment horizontal="center" vertical="center"/>
    </xf>
    <xf numFmtId="0" fontId="0" fillId="0" borderId="163" xfId="0" applyBorder="1" applyAlignment="1">
      <alignment horizontal="center"/>
    </xf>
    <xf numFmtId="0" fontId="0" fillId="0" borderId="79" xfId="0" applyBorder="1" applyAlignment="1">
      <alignment horizontal="center"/>
    </xf>
    <xf numFmtId="0" fontId="0" fillId="0" borderId="185" xfId="0" applyBorder="1"/>
    <xf numFmtId="0" fontId="4" fillId="3" borderId="101" xfId="0" applyFont="1" applyFill="1" applyBorder="1" applyAlignment="1">
      <alignment horizontal="center"/>
    </xf>
    <xf numFmtId="0" fontId="0" fillId="0" borderId="44" xfId="0" applyBorder="1" applyAlignment="1">
      <alignment horizontal="center" vertical="center"/>
    </xf>
    <xf numFmtId="2" fontId="4" fillId="0" borderId="107" xfId="0" applyNumberFormat="1" applyFont="1" applyBorder="1" applyAlignment="1">
      <alignment horizontal="center" vertical="center"/>
    </xf>
    <xf numFmtId="0" fontId="0" fillId="0" borderId="108" xfId="0" applyBorder="1" applyAlignment="1">
      <alignment horizontal="center" vertical="center"/>
    </xf>
    <xf numFmtId="2" fontId="4" fillId="0" borderId="89" xfId="0" applyNumberFormat="1" applyFont="1" applyBorder="1" applyAlignment="1">
      <alignment horizontal="center" vertical="center"/>
    </xf>
    <xf numFmtId="0" fontId="0" fillId="0" borderId="96" xfId="0" applyBorder="1" applyAlignment="1">
      <alignment horizontal="center" vertical="center"/>
    </xf>
    <xf numFmtId="2" fontId="4" fillId="0" borderId="88" xfId="0" applyNumberFormat="1" applyFont="1" applyBorder="1" applyAlignment="1">
      <alignment horizontal="center" vertical="center"/>
    </xf>
    <xf numFmtId="2" fontId="4" fillId="0" borderId="90" xfId="0" applyNumberFormat="1" applyFont="1" applyBorder="1" applyAlignment="1">
      <alignment horizontal="center" vertical="center"/>
    </xf>
    <xf numFmtId="0" fontId="0" fillId="0" borderId="109" xfId="0" applyBorder="1" applyAlignment="1">
      <alignment horizontal="center" vertical="center"/>
    </xf>
    <xf numFmtId="2" fontId="4" fillId="0" borderId="91" xfId="0" applyNumberFormat="1" applyFont="1" applyBorder="1" applyAlignment="1">
      <alignment horizontal="center" vertical="center"/>
    </xf>
    <xf numFmtId="0" fontId="0" fillId="0" borderId="43" xfId="0" applyBorder="1" applyAlignment="1">
      <alignment horizontal="center" vertical="center"/>
    </xf>
    <xf numFmtId="2" fontId="4" fillId="0" borderId="42" xfId="0" applyNumberFormat="1" applyFont="1" applyBorder="1" applyAlignment="1">
      <alignment horizontal="center" vertical="center"/>
    </xf>
    <xf numFmtId="0" fontId="0" fillId="0" borderId="187" xfId="0" applyBorder="1" applyAlignment="1">
      <alignment horizontal="center" vertical="center"/>
    </xf>
    <xf numFmtId="2" fontId="0" fillId="0" borderId="88" xfId="0" applyNumberFormat="1" applyBorder="1" applyAlignment="1">
      <alignment horizontal="center" vertical="center"/>
    </xf>
    <xf numFmtId="2" fontId="0" fillId="0" borderId="90" xfId="0" applyNumberFormat="1" applyBorder="1" applyAlignment="1">
      <alignment horizontal="center" vertical="center"/>
    </xf>
    <xf numFmtId="2" fontId="0" fillId="0" borderId="91" xfId="0" applyNumberFormat="1" applyBorder="1" applyAlignment="1">
      <alignment horizontal="center" vertical="center"/>
    </xf>
    <xf numFmtId="2" fontId="0" fillId="0" borderId="89" xfId="0" applyNumberFormat="1" applyBorder="1" applyAlignment="1">
      <alignment horizontal="center" vertical="center"/>
    </xf>
    <xf numFmtId="2" fontId="0" fillId="0" borderId="91" xfId="0" applyNumberFormat="1" applyBorder="1"/>
    <xf numFmtId="2" fontId="0" fillId="0" borderId="42" xfId="2" applyNumberFormat="1" applyFont="1" applyBorder="1"/>
    <xf numFmtId="0" fontId="0" fillId="0" borderId="96" xfId="0" applyBorder="1" applyAlignment="1">
      <alignment vertical="center"/>
    </xf>
    <xf numFmtId="2" fontId="0" fillId="0" borderId="90" xfId="0" applyNumberFormat="1" applyBorder="1" applyAlignment="1">
      <alignment vertical="center"/>
    </xf>
    <xf numFmtId="0" fontId="0" fillId="6" borderId="96" xfId="0" applyFill="1" applyBorder="1" applyAlignment="1">
      <alignment horizontal="center" vertical="center"/>
    </xf>
    <xf numFmtId="0" fontId="0" fillId="6" borderId="188" xfId="0" applyFill="1" applyBorder="1" applyAlignment="1">
      <alignment horizontal="center" vertical="center"/>
    </xf>
    <xf numFmtId="2" fontId="0" fillId="0" borderId="189" xfId="0" applyNumberFormat="1" applyBorder="1"/>
    <xf numFmtId="0" fontId="0" fillId="0" borderId="9" xfId="0" applyBorder="1"/>
    <xf numFmtId="2" fontId="0" fillId="0" borderId="14" xfId="0" applyNumberFormat="1" applyFill="1" applyBorder="1" applyAlignment="1">
      <alignment horizontal="center"/>
    </xf>
    <xf numFmtId="2" fontId="0" fillId="0" borderId="34" xfId="0" applyNumberFormat="1" applyFill="1" applyBorder="1" applyAlignment="1">
      <alignment horizontal="center"/>
    </xf>
    <xf numFmtId="2" fontId="0" fillId="0" borderId="190" xfId="0" applyNumberFormat="1" applyBorder="1"/>
    <xf numFmtId="49" fontId="5" fillId="4" borderId="194" xfId="0" applyNumberFormat="1" applyFont="1" applyFill="1" applyBorder="1" applyAlignment="1">
      <alignment horizontal="center" vertical="top" wrapText="1"/>
    </xf>
    <xf numFmtId="0" fontId="0" fillId="0" borderId="196" xfId="0" applyBorder="1"/>
    <xf numFmtId="49" fontId="5" fillId="3" borderId="200" xfId="0" applyNumberFormat="1" applyFont="1" applyFill="1" applyBorder="1" applyAlignment="1">
      <alignment horizontal="center" vertical="top" wrapText="1"/>
    </xf>
    <xf numFmtId="0" fontId="13" fillId="0" borderId="0" xfId="0" applyFont="1" applyBorder="1" applyAlignment="1">
      <alignment horizontal="center"/>
    </xf>
    <xf numFmtId="2" fontId="13" fillId="0" borderId="0" xfId="0" applyNumberFormat="1" applyFont="1" applyBorder="1" applyAlignment="1">
      <alignment horizontal="center" vertical="center" wrapText="1"/>
    </xf>
    <xf numFmtId="0" fontId="0" fillId="0" borderId="201" xfId="0" applyBorder="1"/>
    <xf numFmtId="0" fontId="0" fillId="0" borderId="202" xfId="0" applyBorder="1"/>
    <xf numFmtId="0" fontId="0" fillId="0" borderId="203" xfId="0" applyBorder="1"/>
    <xf numFmtId="0" fontId="0" fillId="4" borderId="2" xfId="0" applyFill="1" applyBorder="1"/>
    <xf numFmtId="2" fontId="0" fillId="4" borderId="2" xfId="0" applyNumberFormat="1" applyFill="1" applyBorder="1" applyAlignment="1">
      <alignment horizontal="center"/>
    </xf>
    <xf numFmtId="8" fontId="0" fillId="4" borderId="2" xfId="0" applyNumberFormat="1" applyFill="1" applyBorder="1"/>
    <xf numFmtId="164" fontId="0" fillId="4" borderId="6" xfId="0" applyNumberFormat="1" applyFill="1" applyBorder="1"/>
    <xf numFmtId="0" fontId="0" fillId="3" borderId="0" xfId="0" applyFill="1" applyBorder="1"/>
    <xf numFmtId="2" fontId="0" fillId="3" borderId="0" xfId="0" applyNumberFormat="1" applyFill="1" applyBorder="1" applyAlignment="1">
      <alignment horizontal="center"/>
    </xf>
    <xf numFmtId="8" fontId="0" fillId="3" borderId="0" xfId="0" applyNumberFormat="1" applyFill="1" applyBorder="1"/>
    <xf numFmtId="164" fontId="0" fillId="3" borderId="8" xfId="0" applyNumberFormat="1" applyFill="1" applyBorder="1"/>
    <xf numFmtId="0" fontId="8" fillId="0" borderId="9" xfId="0" applyFont="1" applyFill="1" applyBorder="1" applyAlignment="1">
      <alignment horizontal="left" vertical="center"/>
    </xf>
    <xf numFmtId="0" fontId="4" fillId="0" borderId="9" xfId="0" applyFont="1" applyFill="1" applyBorder="1" applyAlignment="1">
      <alignment vertical="center" wrapText="1"/>
    </xf>
    <xf numFmtId="0" fontId="0" fillId="0" borderId="9" xfId="0" applyFill="1" applyBorder="1" applyAlignment="1">
      <alignment horizontal="left" vertical="center"/>
    </xf>
    <xf numFmtId="8" fontId="0" fillId="0" borderId="0" xfId="0" applyNumberFormat="1" applyFill="1" applyBorder="1"/>
    <xf numFmtId="164" fontId="0" fillId="0" borderId="0" xfId="0" applyNumberFormat="1" applyFill="1" applyBorder="1"/>
    <xf numFmtId="0" fontId="18" fillId="0" borderId="48" xfId="0" applyFont="1" applyFill="1" applyBorder="1" applyAlignment="1">
      <alignment horizontal="left" vertical="top" wrapText="1"/>
    </xf>
    <xf numFmtId="0" fontId="18" fillId="0" borderId="49" xfId="0" applyFont="1" applyFill="1" applyBorder="1" applyAlignment="1">
      <alignment horizontal="left" vertical="top" wrapText="1"/>
    </xf>
    <xf numFmtId="0" fontId="18" fillId="0" borderId="53" xfId="0" applyFont="1" applyFill="1" applyBorder="1" applyAlignment="1">
      <alignment horizontal="left" vertical="top" wrapText="1"/>
    </xf>
    <xf numFmtId="0" fontId="0" fillId="0" borderId="65" xfId="0" applyBorder="1"/>
    <xf numFmtId="0" fontId="18" fillId="0" borderId="62" xfId="0" applyFont="1" applyFill="1" applyBorder="1" applyAlignment="1">
      <alignment horizontal="left" vertical="top" wrapText="1"/>
    </xf>
    <xf numFmtId="0" fontId="18" fillId="0" borderId="51" xfId="0" applyFont="1" applyFill="1" applyBorder="1" applyAlignment="1">
      <alignment horizontal="left" vertical="top" wrapText="1"/>
    </xf>
    <xf numFmtId="0" fontId="18" fillId="0" borderId="52" xfId="0" applyFont="1" applyFill="1" applyBorder="1" applyAlignment="1">
      <alignment horizontal="left" vertical="top" wrapText="1"/>
    </xf>
    <xf numFmtId="2" fontId="0" fillId="0" borderId="14" xfId="0" applyNumberFormat="1" applyFill="1" applyBorder="1" applyAlignment="1">
      <alignment horizontal="left"/>
    </xf>
    <xf numFmtId="0" fontId="0" fillId="0" borderId="108" xfId="0" applyFill="1" applyBorder="1" applyAlignment="1">
      <alignment vertical="center"/>
    </xf>
    <xf numFmtId="0" fontId="0" fillId="0" borderId="89" xfId="0" applyFill="1" applyBorder="1" applyAlignment="1">
      <alignment horizontal="left"/>
    </xf>
    <xf numFmtId="0" fontId="0" fillId="0" borderId="212" xfId="0" applyFill="1" applyBorder="1" applyAlignment="1">
      <alignment vertical="center"/>
    </xf>
    <xf numFmtId="0" fontId="0" fillId="0" borderId="97" xfId="0" applyFill="1" applyBorder="1" applyAlignment="1">
      <alignment vertical="center"/>
    </xf>
    <xf numFmtId="0" fontId="0" fillId="0" borderId="90" xfId="0" applyFill="1" applyBorder="1" applyAlignment="1">
      <alignment horizontal="left"/>
    </xf>
    <xf numFmtId="0" fontId="0" fillId="0" borderId="96" xfId="0" applyFill="1" applyBorder="1" applyAlignment="1">
      <alignment vertical="center"/>
    </xf>
    <xf numFmtId="0" fontId="0" fillId="0" borderId="109" xfId="0" applyFill="1" applyBorder="1" applyAlignment="1">
      <alignment vertical="center"/>
    </xf>
    <xf numFmtId="0" fontId="0" fillId="0" borderId="91" xfId="0" applyFill="1" applyBorder="1" applyAlignment="1">
      <alignment horizontal="left"/>
    </xf>
    <xf numFmtId="0" fontId="0" fillId="0" borderId="213" xfId="0" applyBorder="1"/>
    <xf numFmtId="0" fontId="0" fillId="0" borderId="214" xfId="0" applyFill="1" applyBorder="1"/>
    <xf numFmtId="0" fontId="0" fillId="0" borderId="215" xfId="0" applyFill="1" applyBorder="1" applyAlignment="1">
      <alignment horizontal="left"/>
    </xf>
    <xf numFmtId="0" fontId="0" fillId="0" borderId="217" xfId="0" applyFill="1" applyBorder="1" applyAlignment="1">
      <alignment horizontal="left"/>
    </xf>
    <xf numFmtId="0" fontId="0" fillId="0" borderId="218" xfId="0" applyBorder="1"/>
    <xf numFmtId="0" fontId="0" fillId="0" borderId="19" xfId="0" applyFill="1" applyBorder="1" applyAlignment="1">
      <alignment vertical="center"/>
    </xf>
    <xf numFmtId="0" fontId="0" fillId="0" borderId="7" xfId="0" applyBorder="1"/>
    <xf numFmtId="0" fontId="5" fillId="4" borderId="2" xfId="0" applyFont="1" applyFill="1" applyBorder="1" applyAlignment="1">
      <alignment horizontal="center" vertical="top"/>
    </xf>
    <xf numFmtId="0" fontId="4" fillId="0" borderId="10" xfId="0" applyFont="1" applyFill="1" applyBorder="1" applyAlignment="1">
      <alignment horizontal="left" vertical="center"/>
    </xf>
    <xf numFmtId="0" fontId="4" fillId="0" borderId="35" xfId="0" applyFont="1" applyFill="1" applyBorder="1" applyAlignment="1">
      <alignment horizontal="left" vertical="center"/>
    </xf>
    <xf numFmtId="0" fontId="4" fillId="3" borderId="1" xfId="0" applyFont="1" applyFill="1" applyBorder="1" applyAlignment="1">
      <alignment horizontal="center"/>
    </xf>
    <xf numFmtId="0" fontId="0" fillId="0" borderId="35" xfId="0" applyFill="1" applyBorder="1" applyAlignment="1">
      <alignment horizontal="left" vertical="center"/>
    </xf>
    <xf numFmtId="0" fontId="5" fillId="4" borderId="15" xfId="0" applyFont="1" applyFill="1" applyBorder="1" applyAlignment="1">
      <alignment horizontal="center" vertical="top"/>
    </xf>
    <xf numFmtId="0" fontId="0" fillId="0" borderId="10" xfId="0" applyBorder="1" applyAlignment="1">
      <alignment horizontal="left"/>
    </xf>
    <xf numFmtId="0" fontId="0" fillId="0" borderId="43" xfId="0" applyFill="1" applyBorder="1" applyAlignment="1">
      <alignment horizontal="center" vertical="center"/>
    </xf>
    <xf numFmtId="0" fontId="9" fillId="0" borderId="10" xfId="0" applyFont="1" applyFill="1" applyBorder="1" applyAlignment="1">
      <alignment horizontal="left" vertical="top" wrapText="1"/>
    </xf>
    <xf numFmtId="0" fontId="4" fillId="3" borderId="7" xfId="0" applyFont="1" applyFill="1" applyBorder="1" applyAlignment="1">
      <alignment horizontal="center"/>
    </xf>
    <xf numFmtId="165" fontId="0" fillId="0" borderId="20" xfId="1" applyFont="1" applyFill="1" applyBorder="1" applyAlignment="1">
      <alignment horizontal="left"/>
    </xf>
    <xf numFmtId="0" fontId="0" fillId="0" borderId="10" xfId="0" applyFill="1" applyBorder="1" applyAlignment="1">
      <alignment horizontal="center" vertical="center"/>
    </xf>
    <xf numFmtId="0" fontId="0" fillId="0" borderId="222" xfId="0" applyFill="1" applyBorder="1" applyAlignment="1">
      <alignment vertical="center"/>
    </xf>
    <xf numFmtId="0" fontId="0" fillId="0" borderId="223" xfId="0" applyFill="1" applyBorder="1" applyAlignment="1">
      <alignment vertical="center"/>
    </xf>
    <xf numFmtId="0" fontId="0" fillId="0" borderId="224" xfId="0" applyFill="1" applyBorder="1" applyAlignment="1">
      <alignment vertical="center"/>
    </xf>
    <xf numFmtId="0" fontId="0" fillId="0" borderId="40" xfId="0" applyFill="1" applyBorder="1" applyAlignment="1">
      <alignment vertical="center"/>
    </xf>
    <xf numFmtId="0" fontId="0" fillId="0" borderId="222" xfId="0" applyFill="1" applyBorder="1" applyAlignment="1">
      <alignment horizontal="left"/>
    </xf>
    <xf numFmtId="2" fontId="0" fillId="0" borderId="225" xfId="0" applyNumberFormat="1" applyFill="1" applyBorder="1" applyAlignment="1">
      <alignment horizontal="center"/>
    </xf>
    <xf numFmtId="8" fontId="0" fillId="0" borderId="86" xfId="0" applyNumberFormat="1" applyFill="1" applyBorder="1"/>
    <xf numFmtId="0" fontId="9" fillId="0" borderId="11" xfId="0" applyFont="1" applyFill="1" applyBorder="1" applyAlignment="1">
      <alignment horizontal="left" vertical="top" wrapText="1"/>
    </xf>
    <xf numFmtId="0" fontId="0" fillId="0" borderId="13" xfId="0" applyFill="1" applyBorder="1" applyAlignment="1">
      <alignment horizontal="left"/>
    </xf>
    <xf numFmtId="0" fontId="0" fillId="0" borderId="226" xfId="0" applyFill="1" applyBorder="1" applyAlignment="1">
      <alignment vertical="center"/>
    </xf>
    <xf numFmtId="0" fontId="0" fillId="0" borderId="227" xfId="0" applyFill="1" applyBorder="1" applyAlignment="1">
      <alignment vertical="center"/>
    </xf>
    <xf numFmtId="0" fontId="0" fillId="0" borderId="110" xfId="0" applyFill="1" applyBorder="1" applyAlignment="1">
      <alignment vertical="center"/>
    </xf>
    <xf numFmtId="8" fontId="0" fillId="6" borderId="10" xfId="0" applyNumberFormat="1" applyFill="1" applyBorder="1"/>
    <xf numFmtId="2" fontId="0" fillId="6" borderId="0" xfId="0" applyNumberFormat="1" applyFill="1" applyBorder="1" applyAlignment="1">
      <alignment horizontal="center"/>
    </xf>
    <xf numFmtId="8" fontId="0" fillId="6" borderId="16" xfId="0" applyNumberFormat="1" applyFill="1" applyBorder="1"/>
    <xf numFmtId="2" fontId="0" fillId="6" borderId="10" xfId="0" applyNumberFormat="1" applyFill="1" applyBorder="1" applyAlignment="1">
      <alignment horizontal="center"/>
    </xf>
    <xf numFmtId="8" fontId="0" fillId="6" borderId="20" xfId="0" applyNumberFormat="1" applyFill="1" applyBorder="1"/>
    <xf numFmtId="0" fontId="0" fillId="0" borderId="41" xfId="0" applyFill="1" applyBorder="1" applyAlignment="1">
      <alignment horizontal="left" vertical="center"/>
    </xf>
    <xf numFmtId="0" fontId="0" fillId="7" borderId="115" xfId="0" applyFill="1" applyBorder="1" applyAlignment="1">
      <alignment horizontal="center" vertical="center"/>
    </xf>
    <xf numFmtId="0" fontId="4" fillId="7" borderId="15" xfId="0" applyFont="1" applyFill="1" applyBorder="1" applyAlignment="1">
      <alignment vertical="center" wrapText="1"/>
    </xf>
    <xf numFmtId="0" fontId="0" fillId="0" borderId="228" xfId="0" applyFill="1" applyBorder="1" applyAlignment="1">
      <alignment horizontal="center"/>
    </xf>
    <xf numFmtId="0" fontId="0" fillId="0" borderId="230" xfId="0" applyFill="1" applyBorder="1" applyAlignment="1">
      <alignment vertical="center"/>
    </xf>
    <xf numFmtId="0" fontId="0" fillId="0" borderId="231" xfId="0" applyFill="1" applyBorder="1" applyAlignment="1">
      <alignment vertical="center"/>
    </xf>
    <xf numFmtId="0" fontId="0" fillId="0" borderId="232" xfId="0" applyFill="1" applyBorder="1" applyAlignment="1">
      <alignment horizontal="left"/>
    </xf>
    <xf numFmtId="2" fontId="0" fillId="0" borderId="230" xfId="0" applyNumberFormat="1" applyFill="1" applyBorder="1" applyAlignment="1">
      <alignment horizontal="center"/>
    </xf>
    <xf numFmtId="8" fontId="0" fillId="0" borderId="230" xfId="0" applyNumberFormat="1" applyFill="1" applyBorder="1" applyAlignment="1"/>
    <xf numFmtId="0" fontId="4" fillId="0" borderId="20" xfId="0" applyFont="1" applyFill="1" applyBorder="1" applyAlignment="1">
      <alignment horizontal="left" vertical="center"/>
    </xf>
    <xf numFmtId="0" fontId="4" fillId="0" borderId="16" xfId="0" applyFont="1" applyFill="1" applyBorder="1" applyAlignment="1">
      <alignment horizontal="left" vertical="center"/>
    </xf>
    <xf numFmtId="0" fontId="4" fillId="0" borderId="110" xfId="0" applyFont="1" applyFill="1" applyBorder="1" applyAlignment="1">
      <alignment horizontal="left" vertical="center"/>
    </xf>
    <xf numFmtId="0" fontId="0" fillId="0" borderId="29" xfId="0" applyFill="1" applyBorder="1" applyAlignment="1">
      <alignment vertical="center"/>
    </xf>
    <xf numFmtId="165" fontId="0" fillId="0" borderId="35" xfId="1" applyFont="1" applyFill="1" applyBorder="1" applyAlignment="1">
      <alignment horizontal="left" vertical="center"/>
    </xf>
    <xf numFmtId="0" fontId="0" fillId="0" borderId="231" xfId="0" applyFill="1" applyBorder="1"/>
    <xf numFmtId="0" fontId="0" fillId="0" borderId="40" xfId="0" applyFill="1" applyBorder="1"/>
    <xf numFmtId="0" fontId="0" fillId="0" borderId="230" xfId="0" applyFill="1" applyBorder="1"/>
    <xf numFmtId="8" fontId="0" fillId="0" borderId="40" xfId="0" applyNumberFormat="1" applyFill="1" applyBorder="1"/>
    <xf numFmtId="2" fontId="0" fillId="0" borderId="41" xfId="0" applyNumberFormat="1" applyFill="1" applyBorder="1" applyAlignment="1">
      <alignment horizontal="right"/>
    </xf>
    <xf numFmtId="0" fontId="0" fillId="0" borderId="230" xfId="0" applyFill="1" applyBorder="1" applyAlignment="1">
      <alignment horizontal="left"/>
    </xf>
    <xf numFmtId="8" fontId="0" fillId="0" borderId="230" xfId="0" applyNumberFormat="1" applyFill="1" applyBorder="1"/>
    <xf numFmtId="0" fontId="4" fillId="0" borderId="160" xfId="0" applyFont="1" applyFill="1" applyBorder="1" applyAlignment="1">
      <alignment horizontal="center" vertical="center" wrapText="1"/>
    </xf>
    <xf numFmtId="165" fontId="0" fillId="0" borderId="215" xfId="1" applyFont="1" applyFill="1" applyBorder="1" applyAlignment="1">
      <alignment horizontal="left"/>
    </xf>
    <xf numFmtId="165" fontId="0" fillId="0" borderId="236" xfId="1" applyFont="1" applyFill="1" applyBorder="1"/>
    <xf numFmtId="0" fontId="4" fillId="0" borderId="215" xfId="0" applyFont="1" applyFill="1" applyBorder="1" applyAlignment="1">
      <alignment vertical="center" wrapText="1"/>
    </xf>
    <xf numFmtId="0" fontId="0" fillId="0" borderId="237" xfId="0" applyBorder="1" applyAlignment="1">
      <alignment horizontal="left"/>
    </xf>
    <xf numFmtId="0" fontId="0" fillId="0" borderId="215" xfId="0" applyBorder="1" applyAlignment="1">
      <alignment horizontal="left"/>
    </xf>
    <xf numFmtId="165" fontId="0" fillId="0" borderId="214" xfId="1" applyFont="1" applyFill="1" applyBorder="1" applyAlignment="1">
      <alignment horizontal="left"/>
    </xf>
    <xf numFmtId="0" fontId="0" fillId="0" borderId="214" xfId="0" applyFill="1" applyBorder="1" applyAlignment="1">
      <alignment horizontal="left"/>
    </xf>
    <xf numFmtId="0" fontId="0" fillId="0" borderId="217" xfId="0" applyBorder="1" applyAlignment="1">
      <alignment horizontal="left"/>
    </xf>
    <xf numFmtId="0" fontId="0" fillId="0" borderId="237" xfId="0" applyFill="1" applyBorder="1" applyAlignment="1">
      <alignment horizontal="left"/>
    </xf>
    <xf numFmtId="165" fontId="0" fillId="0" borderId="217" xfId="1" applyFont="1" applyFill="1" applyBorder="1" applyAlignment="1">
      <alignment horizontal="left"/>
    </xf>
    <xf numFmtId="0" fontId="4" fillId="0" borderId="176" xfId="0" applyFont="1" applyFill="1" applyBorder="1" applyAlignment="1">
      <alignment horizontal="center" vertical="center" wrapText="1"/>
    </xf>
    <xf numFmtId="165" fontId="0" fillId="0" borderId="238" xfId="1" applyFont="1" applyFill="1" applyBorder="1" applyAlignment="1">
      <alignment horizontal="left"/>
    </xf>
    <xf numFmtId="0" fontId="0" fillId="11" borderId="43" xfId="0" applyFill="1" applyBorder="1" applyAlignment="1">
      <alignment horizontal="center" vertical="center"/>
    </xf>
    <xf numFmtId="0" fontId="4" fillId="11" borderId="35" xfId="0" applyFont="1" applyFill="1" applyBorder="1" applyAlignment="1">
      <alignment vertical="center"/>
    </xf>
    <xf numFmtId="0" fontId="0" fillId="11" borderId="215" xfId="0" applyFill="1" applyBorder="1" applyAlignment="1">
      <alignment horizontal="left"/>
    </xf>
    <xf numFmtId="2" fontId="0" fillId="11" borderId="41" xfId="0" applyNumberFormat="1" applyFill="1" applyBorder="1" applyAlignment="1">
      <alignment horizontal="center"/>
    </xf>
    <xf numFmtId="165" fontId="0" fillId="11" borderId="35" xfId="0" applyNumberFormat="1" applyFill="1" applyBorder="1"/>
    <xf numFmtId="2" fontId="0" fillId="11" borderId="86" xfId="0" applyNumberFormat="1" applyFill="1" applyBorder="1" applyAlignment="1">
      <alignment horizontal="right"/>
    </xf>
    <xf numFmtId="165" fontId="0" fillId="11" borderId="234" xfId="0" applyNumberFormat="1" applyFill="1" applyBorder="1"/>
    <xf numFmtId="0" fontId="0" fillId="11" borderId="178" xfId="0" applyFill="1" applyBorder="1" applyAlignment="1">
      <alignment horizontal="center"/>
    </xf>
    <xf numFmtId="0" fontId="4" fillId="11" borderId="13" xfId="0" applyFont="1" applyFill="1" applyBorder="1" applyAlignment="1">
      <alignment vertical="center" wrapText="1"/>
    </xf>
    <xf numFmtId="0" fontId="0" fillId="11" borderId="10" xfId="0" applyFill="1" applyBorder="1" applyAlignment="1">
      <alignment horizontal="left"/>
    </xf>
    <xf numFmtId="2" fontId="0" fillId="11" borderId="10" xfId="0" applyNumberFormat="1" applyFill="1" applyBorder="1" applyAlignment="1">
      <alignment horizontal="center"/>
    </xf>
    <xf numFmtId="165" fontId="0" fillId="11" borderId="10" xfId="0" applyNumberFormat="1" applyFill="1" applyBorder="1"/>
    <xf numFmtId="0" fontId="4" fillId="11" borderId="10" xfId="0" applyFont="1" applyFill="1" applyBorder="1" applyAlignment="1">
      <alignment vertical="center" wrapText="1"/>
    </xf>
    <xf numFmtId="2" fontId="0" fillId="11" borderId="10" xfId="0" applyNumberFormat="1" applyFill="1" applyBorder="1" applyAlignment="1">
      <alignment horizontal="center" vertical="center"/>
    </xf>
    <xf numFmtId="165" fontId="0" fillId="11" borderId="10" xfId="0" applyNumberFormat="1" applyFill="1" applyBorder="1" applyAlignment="1">
      <alignment vertical="center"/>
    </xf>
    <xf numFmtId="0" fontId="0" fillId="11" borderId="10" xfId="0" applyFill="1" applyBorder="1" applyAlignment="1">
      <alignment vertical="center"/>
    </xf>
    <xf numFmtId="8" fontId="0" fillId="11" borderId="10" xfId="0" applyNumberFormat="1" applyFill="1" applyBorder="1"/>
    <xf numFmtId="0" fontId="0" fillId="6" borderId="10" xfId="0" applyFill="1" applyBorder="1" applyAlignment="1">
      <alignment horizontal="left" vertical="center"/>
    </xf>
    <xf numFmtId="0" fontId="4" fillId="11" borderId="32" xfId="0" applyFont="1" applyFill="1" applyBorder="1" applyAlignment="1">
      <alignment horizontal="center" vertical="center"/>
    </xf>
    <xf numFmtId="0" fontId="0" fillId="11" borderId="217" xfId="0" applyFill="1" applyBorder="1" applyAlignment="1">
      <alignment horizontal="left"/>
    </xf>
    <xf numFmtId="8" fontId="0" fillId="11" borderId="35" xfId="0" applyNumberFormat="1" applyFill="1" applyBorder="1" applyAlignment="1"/>
    <xf numFmtId="0" fontId="0" fillId="0" borderId="239" xfId="0" applyFill="1" applyBorder="1" applyAlignment="1">
      <alignment vertical="center"/>
    </xf>
    <xf numFmtId="0" fontId="0" fillId="0" borderId="40" xfId="0" applyFill="1" applyBorder="1" applyAlignment="1">
      <alignment horizontal="left"/>
    </xf>
    <xf numFmtId="2" fontId="0" fillId="0" borderId="231" xfId="0" applyNumberFormat="1" applyFill="1" applyBorder="1" applyAlignment="1">
      <alignment horizontal="center"/>
    </xf>
    <xf numFmtId="0" fontId="0" fillId="0" borderId="241" xfId="0" applyFill="1" applyBorder="1" applyAlignment="1">
      <alignment horizontal="center" vertical="center"/>
    </xf>
    <xf numFmtId="165" fontId="0" fillId="0" borderId="21" xfId="1" applyFont="1" applyFill="1" applyBorder="1" applyAlignment="1">
      <alignment horizontal="left"/>
    </xf>
    <xf numFmtId="165" fontId="6" fillId="0" borderId="35" xfId="1" applyFont="1" applyFill="1" applyBorder="1"/>
    <xf numFmtId="0" fontId="4" fillId="11" borderId="35" xfId="0" applyFont="1" applyFill="1" applyBorder="1" applyAlignment="1">
      <alignment vertical="center" wrapText="1"/>
    </xf>
    <xf numFmtId="0" fontId="0" fillId="11" borderId="214" xfId="0" applyFill="1" applyBorder="1" applyAlignment="1">
      <alignment horizontal="left"/>
    </xf>
    <xf numFmtId="2" fontId="0" fillId="11" borderId="41" xfId="0" applyNumberFormat="1" applyFill="1" applyBorder="1" applyAlignment="1">
      <alignment horizontal="right"/>
    </xf>
    <xf numFmtId="165" fontId="6" fillId="11" borderId="35" xfId="1" applyFont="1" applyFill="1" applyBorder="1"/>
    <xf numFmtId="8" fontId="0" fillId="0" borderId="206" xfId="0" applyNumberFormat="1" applyFill="1" applyBorder="1"/>
    <xf numFmtId="0" fontId="4" fillId="0" borderId="244" xfId="0" applyFont="1" applyFill="1" applyBorder="1" applyAlignment="1">
      <alignment horizontal="center" vertical="center" wrapText="1"/>
    </xf>
    <xf numFmtId="0" fontId="0" fillId="0" borderId="246" xfId="0" applyFill="1" applyBorder="1" applyAlignment="1">
      <alignment horizontal="left"/>
    </xf>
    <xf numFmtId="2" fontId="0" fillId="0" borderId="40" xfId="0" applyNumberFormat="1" applyFill="1" applyBorder="1" applyAlignment="1">
      <alignment horizontal="center"/>
    </xf>
    <xf numFmtId="165" fontId="6" fillId="0" borderId="39" xfId="1" applyFont="1" applyFill="1" applyBorder="1"/>
    <xf numFmtId="8" fontId="0" fillId="0" borderId="232" xfId="0" applyNumberFormat="1" applyFill="1" applyBorder="1"/>
    <xf numFmtId="0" fontId="4" fillId="0" borderId="160" xfId="0" applyFont="1" applyFill="1" applyBorder="1" applyAlignment="1">
      <alignment horizontal="center" vertical="center"/>
    </xf>
    <xf numFmtId="0" fontId="0" fillId="11" borderId="248" xfId="0" applyFill="1" applyBorder="1" applyAlignment="1">
      <alignment horizontal="center" vertical="center"/>
    </xf>
    <xf numFmtId="0" fontId="4" fillId="11" borderId="216" xfId="0" applyFont="1" applyFill="1" applyBorder="1" applyAlignment="1">
      <alignment horizontal="left" vertical="center"/>
    </xf>
    <xf numFmtId="2" fontId="0" fillId="11" borderId="40" xfId="0" applyNumberFormat="1" applyFill="1" applyBorder="1" applyAlignment="1">
      <alignment horizontal="center"/>
    </xf>
    <xf numFmtId="165" fontId="0" fillId="11" borderId="235" xfId="0" applyNumberFormat="1" applyFill="1" applyBorder="1"/>
    <xf numFmtId="2" fontId="0" fillId="0" borderId="0" xfId="0" applyNumberFormat="1" applyFill="1" applyBorder="1"/>
    <xf numFmtId="0" fontId="5" fillId="3" borderId="3" xfId="0" applyFont="1" applyFill="1" applyBorder="1" applyAlignment="1">
      <alignment horizontal="center" vertical="top"/>
    </xf>
    <xf numFmtId="0" fontId="1" fillId="3" borderId="3" xfId="0" applyFont="1" applyFill="1" applyBorder="1" applyAlignment="1">
      <alignment horizontal="center"/>
    </xf>
    <xf numFmtId="2" fontId="1" fillId="3" borderId="3" xfId="0" applyNumberFormat="1" applyFont="1" applyFill="1" applyBorder="1" applyAlignment="1">
      <alignment horizontal="center"/>
    </xf>
    <xf numFmtId="164" fontId="0" fillId="0" borderId="107" xfId="0" applyNumberFormat="1" applyBorder="1"/>
    <xf numFmtId="164" fontId="0" fillId="0" borderId="42" xfId="0" applyNumberFormat="1" applyBorder="1"/>
    <xf numFmtId="164" fontId="0" fillId="11" borderId="131" xfId="0" applyNumberFormat="1" applyFill="1" applyBorder="1"/>
    <xf numFmtId="0" fontId="4" fillId="0" borderId="249" xfId="0" applyFont="1" applyFill="1" applyBorder="1" applyAlignment="1">
      <alignment horizontal="center" vertical="center" wrapText="1"/>
    </xf>
    <xf numFmtId="164" fontId="0" fillId="0" borderId="250" xfId="0" applyNumberFormat="1" applyFill="1" applyBorder="1"/>
    <xf numFmtId="0" fontId="4" fillId="0" borderId="92" xfId="0" applyFont="1" applyFill="1" applyBorder="1" applyAlignment="1">
      <alignment horizontal="center" vertical="center" wrapText="1"/>
    </xf>
    <xf numFmtId="164" fontId="0" fillId="0" borderId="251" xfId="0" applyNumberFormat="1" applyFill="1" applyBorder="1"/>
    <xf numFmtId="164" fontId="0" fillId="0" borderId="252" xfId="0" applyNumberFormat="1" applyFill="1" applyBorder="1"/>
    <xf numFmtId="164" fontId="0" fillId="0" borderId="253" xfId="0" applyNumberFormat="1" applyFill="1" applyBorder="1"/>
    <xf numFmtId="0" fontId="0" fillId="0" borderId="254" xfId="0" applyFill="1" applyBorder="1" applyAlignment="1">
      <alignment horizontal="center" vertical="center"/>
    </xf>
    <xf numFmtId="0" fontId="0" fillId="0" borderId="34" xfId="0" applyFill="1" applyBorder="1" applyAlignment="1">
      <alignment vertical="center"/>
    </xf>
    <xf numFmtId="0" fontId="0" fillId="11" borderId="9" xfId="0" applyFill="1" applyBorder="1" applyAlignment="1">
      <alignment horizontal="center"/>
    </xf>
    <xf numFmtId="44" fontId="0" fillId="11" borderId="14" xfId="0" applyNumberFormat="1" applyFill="1" applyBorder="1" applyAlignment="1">
      <alignment vertical="center"/>
    </xf>
    <xf numFmtId="164" fontId="0" fillId="0" borderId="8" xfId="0" applyNumberFormat="1" applyFill="1" applyBorder="1"/>
    <xf numFmtId="0" fontId="4" fillId="0" borderId="255" xfId="0" applyFont="1" applyFill="1" applyBorder="1" applyAlignment="1">
      <alignment horizontal="center" vertical="center" wrapText="1"/>
    </xf>
    <xf numFmtId="164" fontId="0" fillId="0" borderId="256" xfId="0" applyNumberFormat="1" applyFill="1" applyBorder="1"/>
    <xf numFmtId="164" fontId="0" fillId="0" borderId="257" xfId="0" applyNumberFormat="1" applyFill="1" applyBorder="1"/>
    <xf numFmtId="164" fontId="0" fillId="0" borderId="42" xfId="0" applyNumberFormat="1" applyFill="1" applyBorder="1"/>
    <xf numFmtId="164" fontId="0" fillId="0" borderId="250" xfId="0" applyNumberFormat="1" applyBorder="1"/>
    <xf numFmtId="0" fontId="0" fillId="10" borderId="9" xfId="0" applyFill="1" applyBorder="1" applyAlignment="1">
      <alignment horizontal="center"/>
    </xf>
    <xf numFmtId="164" fontId="0" fillId="10" borderId="14" xfId="0" applyNumberFormat="1" applyFill="1" applyBorder="1"/>
    <xf numFmtId="164" fontId="0" fillId="11" borderId="14" xfId="0" applyNumberFormat="1" applyFill="1" applyBorder="1"/>
    <xf numFmtId="0" fontId="4" fillId="0" borderId="258" xfId="0" applyFont="1" applyFill="1" applyBorder="1" applyAlignment="1">
      <alignment horizontal="center" vertical="center" wrapText="1"/>
    </xf>
    <xf numFmtId="164" fontId="0" fillId="6" borderId="259" xfId="0" applyNumberFormat="1" applyFill="1" applyBorder="1" applyAlignment="1">
      <alignment vertical="center"/>
    </xf>
    <xf numFmtId="164" fontId="0" fillId="6" borderId="76" xfId="0" applyNumberFormat="1" applyFill="1" applyBorder="1" applyAlignment="1">
      <alignment vertical="center"/>
    </xf>
    <xf numFmtId="0" fontId="4" fillId="0" borderId="260" xfId="0" applyFont="1" applyFill="1" applyBorder="1" applyAlignment="1">
      <alignment horizontal="center" vertical="center" wrapText="1"/>
    </xf>
    <xf numFmtId="164" fontId="0" fillId="6" borderId="24" xfId="0" applyNumberFormat="1" applyFill="1" applyBorder="1" applyAlignment="1">
      <alignment vertical="center"/>
    </xf>
    <xf numFmtId="0" fontId="0" fillId="6" borderId="9" xfId="0" applyFill="1" applyBorder="1" applyAlignment="1">
      <alignment horizontal="center"/>
    </xf>
    <xf numFmtId="164" fontId="0" fillId="6" borderId="14" xfId="0" applyNumberFormat="1" applyFill="1" applyBorder="1"/>
    <xf numFmtId="164" fontId="0" fillId="0" borderId="107" xfId="0" applyNumberFormat="1" applyFill="1" applyBorder="1" applyAlignment="1"/>
    <xf numFmtId="164" fontId="0" fillId="0" borderId="42" xfId="0" applyNumberFormat="1" applyFill="1" applyBorder="1" applyAlignment="1"/>
    <xf numFmtId="164" fontId="0" fillId="11" borderId="42" xfId="0" applyNumberFormat="1" applyFill="1" applyBorder="1" applyAlignment="1"/>
    <xf numFmtId="164" fontId="0" fillId="0" borderId="261" xfId="0" applyNumberFormat="1" applyFill="1" applyBorder="1" applyAlignment="1"/>
    <xf numFmtId="0" fontId="4" fillId="0" borderId="143" xfId="0" applyFont="1" applyFill="1" applyBorder="1" applyAlignment="1">
      <alignment horizontal="center" vertical="center" wrapText="1"/>
    </xf>
    <xf numFmtId="164" fontId="0" fillId="0" borderId="253" xfId="0" applyNumberFormat="1" applyFill="1" applyBorder="1" applyAlignment="1"/>
    <xf numFmtId="0" fontId="4" fillId="0" borderId="262" xfId="0" applyFont="1" applyFill="1" applyBorder="1" applyAlignment="1">
      <alignment horizontal="center" vertical="center" wrapText="1"/>
    </xf>
    <xf numFmtId="164" fontId="0" fillId="0" borderId="263" xfId="0" applyNumberFormat="1" applyFill="1" applyBorder="1" applyAlignment="1"/>
    <xf numFmtId="164" fontId="0" fillId="0" borderId="264" xfId="0" applyNumberFormat="1" applyFill="1" applyBorder="1" applyAlignment="1"/>
    <xf numFmtId="164" fontId="0" fillId="0" borderId="265" xfId="0" applyNumberFormat="1" applyFill="1" applyBorder="1" applyAlignment="1"/>
    <xf numFmtId="164" fontId="0" fillId="0" borderId="257" xfId="0" applyNumberFormat="1" applyFill="1" applyBorder="1" applyAlignment="1"/>
    <xf numFmtId="164" fontId="0" fillId="6" borderId="42" xfId="0" applyNumberFormat="1" applyFill="1" applyBorder="1"/>
    <xf numFmtId="164" fontId="0" fillId="6" borderId="42" xfId="0" applyNumberFormat="1" applyFill="1" applyBorder="1" applyAlignment="1"/>
    <xf numFmtId="0" fontId="0" fillId="10" borderId="266" xfId="0" applyFill="1" applyBorder="1" applyAlignment="1">
      <alignment horizontal="center"/>
    </xf>
    <xf numFmtId="164" fontId="0" fillId="10" borderId="267" xfId="0" applyNumberFormat="1" applyFill="1" applyBorder="1"/>
    <xf numFmtId="164" fontId="0" fillId="11" borderId="42" xfId="0" applyNumberFormat="1" applyFill="1" applyBorder="1"/>
    <xf numFmtId="0" fontId="4" fillId="0" borderId="108" xfId="0" applyFont="1" applyFill="1" applyBorder="1" applyAlignment="1">
      <alignment horizontal="center" vertical="center" wrapText="1"/>
    </xf>
    <xf numFmtId="164" fontId="0" fillId="11" borderId="268" xfId="0" applyNumberFormat="1" applyFill="1" applyBorder="1"/>
    <xf numFmtId="0" fontId="4" fillId="0" borderId="96" xfId="0" applyFont="1" applyFill="1" applyBorder="1" applyAlignment="1">
      <alignment horizontal="center" vertical="center" wrapText="1"/>
    </xf>
    <xf numFmtId="164" fontId="0" fillId="0" borderId="264" xfId="0" applyNumberFormat="1" applyFill="1" applyBorder="1"/>
    <xf numFmtId="164" fontId="0" fillId="0" borderId="263" xfId="0" applyNumberFormat="1" applyFill="1" applyBorder="1"/>
    <xf numFmtId="164" fontId="0" fillId="0" borderId="107" xfId="0" applyNumberFormat="1" applyFill="1" applyBorder="1"/>
    <xf numFmtId="164" fontId="0" fillId="0" borderId="265" xfId="0" applyNumberFormat="1" applyFill="1" applyBorder="1"/>
    <xf numFmtId="0" fontId="4" fillId="0" borderId="269" xfId="0" applyFont="1" applyFill="1" applyBorder="1" applyAlignment="1">
      <alignment horizontal="center" vertical="center" wrapText="1"/>
    </xf>
    <xf numFmtId="0" fontId="4" fillId="0" borderId="270" xfId="0" applyFont="1" applyFill="1" applyBorder="1" applyAlignment="1">
      <alignment horizontal="center" vertical="center" wrapText="1"/>
    </xf>
    <xf numFmtId="0" fontId="4" fillId="0" borderId="271" xfId="0" applyFont="1" applyFill="1" applyBorder="1" applyAlignment="1">
      <alignment horizontal="center" vertical="center" wrapText="1"/>
    </xf>
    <xf numFmtId="164" fontId="0" fillId="0" borderId="131" xfId="0" applyNumberFormat="1" applyFill="1" applyBorder="1"/>
    <xf numFmtId="0" fontId="0" fillId="0" borderId="205" xfId="0" applyFill="1" applyBorder="1" applyAlignment="1">
      <alignment vertical="center"/>
    </xf>
    <xf numFmtId="0" fontId="0" fillId="0" borderId="205" xfId="0" applyFill="1" applyBorder="1" applyAlignment="1">
      <alignment horizontal="center" vertical="center"/>
    </xf>
    <xf numFmtId="0" fontId="0" fillId="6" borderId="19" xfId="0" applyFill="1" applyBorder="1" applyAlignment="1">
      <alignment horizontal="center"/>
    </xf>
    <xf numFmtId="0" fontId="0" fillId="6" borderId="16" xfId="0" applyFill="1" applyBorder="1" applyAlignment="1">
      <alignment horizontal="left" vertical="center"/>
    </xf>
    <xf numFmtId="0" fontId="0" fillId="6" borderId="16" xfId="0" applyFill="1" applyBorder="1" applyAlignment="1">
      <alignment horizontal="left"/>
    </xf>
    <xf numFmtId="2" fontId="0" fillId="6" borderId="16" xfId="0" applyNumberFormat="1" applyFill="1" applyBorder="1" applyAlignment="1">
      <alignment horizontal="center"/>
    </xf>
    <xf numFmtId="164" fontId="0" fillId="6" borderId="158" xfId="0" applyNumberFormat="1" applyFill="1" applyBorder="1"/>
    <xf numFmtId="0" fontId="4" fillId="3" borderId="1" xfId="0" applyFont="1" applyFill="1" applyBorder="1" applyAlignment="1"/>
    <xf numFmtId="0" fontId="4" fillId="3" borderId="2" xfId="0" applyFont="1" applyFill="1" applyBorder="1" applyAlignment="1"/>
    <xf numFmtId="0" fontId="4" fillId="7" borderId="1" xfId="0" applyFont="1" applyFill="1" applyBorder="1" applyAlignment="1"/>
    <xf numFmtId="0" fontId="5" fillId="7" borderId="2" xfId="0" applyFont="1" applyFill="1" applyBorder="1" applyAlignment="1">
      <alignment horizontal="center"/>
    </xf>
    <xf numFmtId="0" fontId="0" fillId="7" borderId="2" xfId="0" applyFill="1" applyBorder="1" applyAlignment="1">
      <alignment horizontal="left"/>
    </xf>
    <xf numFmtId="0" fontId="0" fillId="4" borderId="1" xfId="0" applyFill="1" applyBorder="1" applyAlignment="1">
      <alignment horizontal="center"/>
    </xf>
    <xf numFmtId="0" fontId="18" fillId="4" borderId="2" xfId="0" applyFont="1" applyFill="1" applyBorder="1" applyAlignment="1">
      <alignment horizontal="left" vertical="top" wrapText="1"/>
    </xf>
    <xf numFmtId="0" fontId="0" fillId="4" borderId="2" xfId="0" applyFill="1" applyBorder="1" applyAlignment="1">
      <alignment horizontal="left"/>
    </xf>
    <xf numFmtId="0" fontId="4" fillId="3" borderId="6" xfId="0" applyFont="1" applyFill="1" applyBorder="1" applyAlignment="1"/>
    <xf numFmtId="0" fontId="5" fillId="4" borderId="2" xfId="0" applyFont="1" applyFill="1" applyBorder="1" applyAlignment="1">
      <alignment vertical="center"/>
    </xf>
    <xf numFmtId="166" fontId="5" fillId="10" borderId="0" xfId="1" applyNumberFormat="1" applyFont="1" applyFill="1" applyBorder="1" applyAlignment="1">
      <alignment horizontal="center" vertical="top"/>
    </xf>
    <xf numFmtId="166" fontId="5" fillId="11" borderId="0" xfId="1" applyNumberFormat="1" applyFont="1" applyFill="1" applyBorder="1" applyAlignment="1">
      <alignment horizontal="center" vertical="top"/>
    </xf>
    <xf numFmtId="8" fontId="0" fillId="0" borderId="17" xfId="0" applyNumberFormat="1" applyFill="1" applyBorder="1"/>
    <xf numFmtId="164" fontId="0" fillId="0" borderId="274" xfId="0" applyNumberFormat="1" applyFill="1" applyBorder="1"/>
    <xf numFmtId="164" fontId="0" fillId="0" borderId="88" xfId="0" applyNumberFormat="1" applyFill="1" applyBorder="1"/>
    <xf numFmtId="8" fontId="0" fillId="0" borderId="247" xfId="0" applyNumberFormat="1" applyFill="1" applyBorder="1"/>
    <xf numFmtId="2" fontId="0" fillId="0" borderId="275" xfId="0" applyNumberFormat="1" applyFill="1" applyBorder="1" applyAlignment="1">
      <alignment horizontal="center"/>
    </xf>
    <xf numFmtId="0" fontId="5" fillId="4" borderId="2" xfId="0" applyFont="1" applyFill="1" applyBorder="1" applyAlignment="1">
      <alignment horizontal="center" vertical="top"/>
    </xf>
    <xf numFmtId="0" fontId="4" fillId="0" borderId="173" xfId="0" applyFont="1" applyFill="1" applyBorder="1" applyAlignment="1">
      <alignment horizontal="center" vertical="center" wrapText="1"/>
    </xf>
    <xf numFmtId="0" fontId="4" fillId="0" borderId="279" xfId="0" applyFont="1" applyFill="1" applyBorder="1" applyAlignment="1">
      <alignment horizontal="center" vertical="center" wrapText="1"/>
    </xf>
    <xf numFmtId="0" fontId="4" fillId="0" borderId="245"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0" fillId="0" borderId="287" xfId="0" applyFill="1" applyBorder="1" applyAlignment="1">
      <alignment horizontal="center"/>
    </xf>
    <xf numFmtId="0" fontId="0" fillId="0" borderId="78" xfId="0" applyFill="1" applyBorder="1" applyAlignment="1">
      <alignment horizontal="center"/>
    </xf>
    <xf numFmtId="0" fontId="4" fillId="0" borderId="163" xfId="0" applyFont="1" applyFill="1" applyBorder="1" applyAlignment="1">
      <alignment horizontal="center" vertical="center" wrapText="1"/>
    </xf>
    <xf numFmtId="0" fontId="0" fillId="6" borderId="297" xfId="0" applyFill="1" applyBorder="1" applyAlignment="1">
      <alignment horizontal="center"/>
    </xf>
    <xf numFmtId="0" fontId="0" fillId="6" borderId="228" xfId="0" applyFill="1" applyBorder="1" applyAlignment="1">
      <alignment horizontal="center"/>
    </xf>
    <xf numFmtId="2" fontId="10" fillId="6" borderId="228" xfId="2" applyNumberFormat="1" applyFont="1" applyFill="1" applyBorder="1" applyAlignment="1">
      <alignment horizontal="center" vertical="center"/>
    </xf>
    <xf numFmtId="0" fontId="0" fillId="6" borderId="228" xfId="0" applyFill="1" applyBorder="1" applyAlignment="1">
      <alignment horizontal="center" vertical="center"/>
    </xf>
    <xf numFmtId="0" fontId="0" fillId="6" borderId="284" xfId="0" applyFill="1" applyBorder="1" applyAlignment="1">
      <alignment horizontal="center"/>
    </xf>
    <xf numFmtId="0" fontId="4" fillId="0" borderId="50" xfId="0" applyFont="1" applyFill="1" applyBorder="1" applyAlignment="1">
      <alignment horizontal="center" vertical="center"/>
    </xf>
    <xf numFmtId="0" fontId="0" fillId="0" borderId="37" xfId="0" applyFill="1" applyBorder="1" applyAlignment="1">
      <alignment horizontal="center"/>
    </xf>
    <xf numFmtId="0" fontId="0" fillId="0" borderId="242" xfId="0" applyFill="1" applyBorder="1" applyAlignment="1">
      <alignment horizontal="center" vertical="center" wrapText="1"/>
    </xf>
    <xf numFmtId="0" fontId="0" fillId="0" borderId="305" xfId="0" applyFill="1" applyBorder="1" applyAlignment="1">
      <alignment horizontal="center"/>
    </xf>
    <xf numFmtId="0" fontId="4" fillId="0" borderId="50" xfId="0" applyFont="1" applyFill="1" applyBorder="1" applyAlignment="1">
      <alignment horizontal="center" vertical="center" wrapText="1"/>
    </xf>
    <xf numFmtId="0" fontId="4" fillId="0" borderId="161" xfId="0" applyFont="1" applyFill="1" applyBorder="1" applyAlignment="1">
      <alignment horizontal="center" vertical="center" wrapText="1"/>
    </xf>
    <xf numFmtId="0" fontId="0" fillId="0" borderId="120" xfId="0" applyFill="1" applyBorder="1" applyAlignment="1">
      <alignment horizontal="center"/>
    </xf>
    <xf numFmtId="0" fontId="0" fillId="0" borderId="308" xfId="0" applyFill="1" applyBorder="1" applyAlignment="1">
      <alignment horizontal="center"/>
    </xf>
    <xf numFmtId="0" fontId="0" fillId="0" borderId="310" xfId="0" applyFill="1" applyBorder="1" applyAlignment="1">
      <alignment horizontal="center"/>
    </xf>
    <xf numFmtId="0" fontId="0" fillId="0" borderId="233" xfId="0" applyFill="1" applyBorder="1" applyAlignment="1">
      <alignment horizontal="center"/>
    </xf>
    <xf numFmtId="0" fontId="4" fillId="0" borderId="242" xfId="0" applyFont="1" applyFill="1" applyBorder="1" applyAlignment="1">
      <alignment horizontal="center" vertical="center" wrapText="1"/>
    </xf>
    <xf numFmtId="0" fontId="0" fillId="6" borderId="13" xfId="0" applyFill="1" applyBorder="1" applyAlignment="1">
      <alignment horizontal="left"/>
    </xf>
    <xf numFmtId="0" fontId="4" fillId="0" borderId="174" xfId="0" applyFont="1" applyFill="1" applyBorder="1" applyAlignment="1">
      <alignment horizontal="center" vertical="center" wrapText="1"/>
    </xf>
    <xf numFmtId="2" fontId="10" fillId="0" borderId="37" xfId="2" applyNumberFormat="1" applyFont="1" applyFill="1" applyBorder="1" applyAlignment="1">
      <alignment horizontal="center" vertical="center"/>
    </xf>
    <xf numFmtId="0" fontId="0" fillId="0" borderId="313" xfId="0" applyFill="1" applyBorder="1" applyAlignment="1">
      <alignment horizontal="center"/>
    </xf>
    <xf numFmtId="0" fontId="0" fillId="0" borderId="37" xfId="0" applyFill="1" applyBorder="1" applyAlignment="1">
      <alignment horizontal="center" vertical="center"/>
    </xf>
    <xf numFmtId="0" fontId="0" fillId="0" borderId="297" xfId="0" applyFill="1" applyBorder="1" applyAlignment="1">
      <alignment horizontal="center"/>
    </xf>
    <xf numFmtId="0" fontId="0" fillId="0" borderId="243" xfId="0" applyFill="1" applyBorder="1" applyAlignment="1">
      <alignment horizontal="center"/>
    </xf>
    <xf numFmtId="0" fontId="0" fillId="0" borderId="164" xfId="0" applyFill="1" applyBorder="1" applyAlignment="1">
      <alignment horizontal="center"/>
    </xf>
    <xf numFmtId="0" fontId="0" fillId="11" borderId="41" xfId="0" applyFill="1" applyBorder="1" applyAlignment="1">
      <alignment horizontal="left"/>
    </xf>
    <xf numFmtId="0" fontId="0" fillId="0" borderId="317" xfId="0" applyFill="1" applyBorder="1" applyAlignment="1">
      <alignment horizontal="left"/>
    </xf>
    <xf numFmtId="0" fontId="4" fillId="0" borderId="318" xfId="0" applyFont="1" applyFill="1" applyBorder="1" applyAlignment="1">
      <alignment horizontal="center" vertical="center" wrapText="1"/>
    </xf>
    <xf numFmtId="0" fontId="0" fillId="0" borderId="225" xfId="0" applyFill="1" applyBorder="1" applyAlignment="1">
      <alignment horizontal="left"/>
    </xf>
    <xf numFmtId="0" fontId="4" fillId="0" borderId="12" xfId="0" applyFont="1" applyFill="1" applyBorder="1" applyAlignment="1">
      <alignment horizontal="left" vertical="center"/>
    </xf>
    <xf numFmtId="0" fontId="4" fillId="0" borderId="35" xfId="0" applyFont="1" applyFill="1" applyBorder="1" applyAlignment="1">
      <alignment horizontal="left" vertical="center"/>
    </xf>
    <xf numFmtId="0" fontId="4" fillId="0" borderId="40" xfId="0" applyFont="1" applyFill="1" applyBorder="1" applyAlignment="1">
      <alignment horizontal="left" vertical="center"/>
    </xf>
    <xf numFmtId="0" fontId="0" fillId="0" borderId="12" xfId="0" applyFill="1" applyBorder="1" applyAlignment="1">
      <alignment horizontal="left" vertical="center"/>
    </xf>
    <xf numFmtId="0" fontId="0" fillId="0" borderId="20" xfId="0" applyFill="1" applyBorder="1" applyAlignment="1">
      <alignment horizontal="left" vertical="center"/>
    </xf>
    <xf numFmtId="0" fontId="0" fillId="0" borderId="16" xfId="0" applyFill="1" applyBorder="1" applyAlignment="1">
      <alignment vertical="center"/>
    </xf>
    <xf numFmtId="8" fontId="0" fillId="0" borderId="32" xfId="0" applyNumberFormat="1" applyFill="1" applyBorder="1"/>
    <xf numFmtId="0" fontId="0" fillId="0" borderId="124" xfId="0" applyFill="1" applyBorder="1" applyAlignment="1">
      <alignment horizontal="center"/>
    </xf>
    <xf numFmtId="0" fontId="0" fillId="0" borderId="35" xfId="0" applyFill="1" applyBorder="1" applyAlignment="1">
      <alignment vertical="center"/>
    </xf>
    <xf numFmtId="0" fontId="4" fillId="0" borderId="216" xfId="0" applyFont="1" applyFill="1" applyBorder="1" applyAlignment="1">
      <alignment vertical="center" wrapText="1"/>
    </xf>
    <xf numFmtId="0" fontId="0" fillId="0" borderId="215" xfId="0" applyFill="1" applyBorder="1" applyAlignment="1">
      <alignment vertical="center"/>
    </xf>
    <xf numFmtId="0" fontId="0" fillId="0" borderId="31" xfId="0" applyFont="1" applyFill="1" applyBorder="1" applyAlignment="1">
      <alignment vertical="center" wrapText="1"/>
    </xf>
    <xf numFmtId="0" fontId="4" fillId="0" borderId="12" xfId="0" applyFont="1" applyFill="1" applyBorder="1" applyAlignment="1">
      <alignment vertical="center" wrapText="1"/>
    </xf>
    <xf numFmtId="0" fontId="4" fillId="0" borderId="12" xfId="0" applyFont="1" applyFill="1" applyBorder="1" applyAlignment="1">
      <alignment vertical="center"/>
    </xf>
    <xf numFmtId="0" fontId="0" fillId="0" borderId="22" xfId="0" applyFill="1" applyBorder="1"/>
    <xf numFmtId="0" fontId="0" fillId="0" borderId="39" xfId="0" applyFill="1" applyBorder="1"/>
    <xf numFmtId="0" fontId="0" fillId="0" borderId="39" xfId="0" applyFill="1" applyBorder="1" applyAlignment="1">
      <alignment vertical="center"/>
    </xf>
    <xf numFmtId="0" fontId="0" fillId="0" borderId="86" xfId="0" applyFill="1" applyBorder="1" applyAlignment="1">
      <alignment horizontal="left"/>
    </xf>
    <xf numFmtId="0" fontId="0" fillId="0" borderId="18" xfId="0" applyFill="1" applyBorder="1"/>
    <xf numFmtId="0" fontId="0" fillId="0" borderId="18" xfId="0" applyFill="1" applyBorder="1" applyAlignment="1">
      <alignment horizontal="left" vertical="center"/>
    </xf>
    <xf numFmtId="0" fontId="0" fillId="0" borderId="215" xfId="0" applyFill="1" applyBorder="1"/>
    <xf numFmtId="0" fontId="0" fillId="0" borderId="25" xfId="0" applyFill="1" applyBorder="1" applyAlignment="1">
      <alignment horizontal="center"/>
    </xf>
    <xf numFmtId="164" fontId="0" fillId="0" borderId="319" xfId="0" applyNumberFormat="1" applyFill="1" applyBorder="1"/>
    <xf numFmtId="0" fontId="22" fillId="0" borderId="20" xfId="0" applyFont="1" applyFill="1" applyBorder="1" applyAlignment="1">
      <alignment horizontal="left" vertical="center"/>
    </xf>
    <xf numFmtId="43" fontId="21" fillId="0" borderId="0" xfId="2" applyFont="1" applyFill="1"/>
    <xf numFmtId="43" fontId="0" fillId="0" borderId="0" xfId="2" applyFont="1"/>
    <xf numFmtId="43" fontId="21" fillId="0" borderId="0" xfId="2" applyFont="1"/>
    <xf numFmtId="0" fontId="0" fillId="0" borderId="320" xfId="0" applyBorder="1" applyAlignment="1">
      <alignment horizontal="center"/>
    </xf>
    <xf numFmtId="0" fontId="0" fillId="0" borderId="16" xfId="0" applyFill="1" applyBorder="1" applyAlignment="1">
      <alignment horizontal="center" vertical="center"/>
    </xf>
    <xf numFmtId="0" fontId="0" fillId="0" borderId="266" xfId="0" applyBorder="1" applyAlignment="1">
      <alignment horizontal="center"/>
    </xf>
    <xf numFmtId="2" fontId="0" fillId="0" borderId="273" xfId="0" applyNumberFormat="1" applyFill="1" applyBorder="1" applyAlignment="1">
      <alignment horizontal="center"/>
    </xf>
    <xf numFmtId="8" fontId="0" fillId="0" borderId="205" xfId="0" applyNumberFormat="1" applyFill="1" applyBorder="1"/>
    <xf numFmtId="164" fontId="0" fillId="0" borderId="267" xfId="0" applyNumberFormat="1" applyFill="1" applyBorder="1"/>
    <xf numFmtId="8" fontId="0" fillId="0" borderId="0" xfId="0" applyNumberFormat="1" applyFill="1"/>
    <xf numFmtId="43" fontId="0" fillId="0" borderId="0" xfId="2" applyFont="1" applyFill="1"/>
    <xf numFmtId="0" fontId="4" fillId="0" borderId="35" xfId="0" applyFont="1" applyFill="1" applyBorder="1" applyAlignment="1">
      <alignment horizontal="left" vertical="center"/>
    </xf>
    <xf numFmtId="0" fontId="4" fillId="0" borderId="240" xfId="0" applyFont="1" applyFill="1" applyBorder="1" applyAlignment="1">
      <alignment horizontal="left" vertical="center"/>
    </xf>
    <xf numFmtId="0" fontId="4" fillId="0" borderId="39" xfId="0" applyFont="1" applyFill="1" applyBorder="1" applyAlignment="1">
      <alignment horizontal="left" vertical="center"/>
    </xf>
    <xf numFmtId="0" fontId="4" fillId="0" borderId="48" xfId="0" applyFont="1" applyBorder="1" applyAlignment="1">
      <alignment horizontal="left" vertical="center"/>
    </xf>
    <xf numFmtId="0" fontId="4" fillId="0" borderId="35" xfId="0" applyFont="1" applyBorder="1" applyAlignment="1">
      <alignment horizontal="left" vertical="center"/>
    </xf>
    <xf numFmtId="0" fontId="4" fillId="0" borderId="39" xfId="0" applyFont="1" applyBorder="1" applyAlignment="1">
      <alignment horizontal="left" vertical="center"/>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72" xfId="0" applyFont="1" applyFill="1" applyBorder="1" applyAlignment="1">
      <alignment horizontal="left" vertical="center"/>
    </xf>
    <xf numFmtId="0" fontId="4" fillId="0" borderId="204" xfId="0" applyFont="1" applyFill="1" applyBorder="1" applyAlignment="1">
      <alignment horizontal="left" vertical="center"/>
    </xf>
    <xf numFmtId="0" fontId="4" fillId="0" borderId="273" xfId="0" applyFont="1" applyFill="1" applyBorder="1" applyAlignment="1">
      <alignment horizontal="left" vertical="center"/>
    </xf>
    <xf numFmtId="0" fontId="4" fillId="0" borderId="306" xfId="0" applyFont="1" applyBorder="1" applyAlignment="1">
      <alignment horizontal="left" vertical="center"/>
    </xf>
    <xf numFmtId="0" fontId="4" fillId="0" borderId="307" xfId="0" applyFont="1" applyBorder="1" applyAlignment="1">
      <alignment horizontal="left" vertical="center"/>
    </xf>
    <xf numFmtId="0" fontId="4" fillId="0" borderId="309" xfId="0" applyFont="1" applyBorder="1" applyAlignment="1">
      <alignment horizontal="left" vertical="center"/>
    </xf>
    <xf numFmtId="0" fontId="4" fillId="0" borderId="314" xfId="0" applyFont="1" applyBorder="1" applyAlignment="1">
      <alignment horizontal="left" vertical="center"/>
    </xf>
    <xf numFmtId="0" fontId="4" fillId="0" borderId="315" xfId="0" applyFont="1" applyBorder="1" applyAlignment="1">
      <alignment horizontal="left" vertical="center"/>
    </xf>
    <xf numFmtId="0" fontId="4" fillId="0" borderId="316" xfId="0" applyFont="1" applyBorder="1" applyAlignment="1">
      <alignment horizontal="left" vertical="center"/>
    </xf>
    <xf numFmtId="0" fontId="4" fillId="0" borderId="53" xfId="0" applyFont="1" applyBorder="1" applyAlignment="1">
      <alignment horizontal="left" vertical="center"/>
    </xf>
    <xf numFmtId="0" fontId="0" fillId="0" borderId="35" xfId="0" applyFill="1" applyBorder="1" applyAlignment="1">
      <alignment horizontal="center" vertical="center"/>
    </xf>
    <xf numFmtId="0" fontId="0" fillId="0" borderId="39" xfId="0" applyFill="1" applyBorder="1" applyAlignment="1">
      <alignment horizontal="center" vertical="center"/>
    </xf>
    <xf numFmtId="0" fontId="4" fillId="0" borderId="240" xfId="0" applyFont="1" applyBorder="1" applyAlignment="1">
      <alignment horizontal="left" vertical="center"/>
    </xf>
    <xf numFmtId="0" fontId="4" fillId="0" borderId="288" xfId="0" applyFont="1" applyBorder="1" applyAlignment="1">
      <alignment horizontal="left" vertical="center"/>
    </xf>
    <xf numFmtId="0" fontId="4" fillId="0" borderId="290" xfId="0" applyFont="1" applyBorder="1" applyAlignment="1">
      <alignment horizontal="left" vertical="center"/>
    </xf>
    <xf numFmtId="0" fontId="4" fillId="0" borderId="311" xfId="0" applyFont="1" applyBorder="1" applyAlignment="1">
      <alignment horizontal="left" vertical="center"/>
    </xf>
    <xf numFmtId="0" fontId="5" fillId="3" borderId="2" xfId="0" applyFont="1" applyFill="1" applyBorder="1" applyAlignment="1">
      <alignment horizontal="center"/>
    </xf>
    <xf numFmtId="0" fontId="4" fillId="0" borderId="35"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5" fillId="4" borderId="15" xfId="0" applyFont="1" applyFill="1" applyBorder="1" applyAlignment="1">
      <alignment horizontal="center" vertical="center"/>
    </xf>
    <xf numFmtId="0" fontId="0" fillId="11" borderId="40" xfId="0" applyFill="1" applyBorder="1" applyAlignment="1">
      <alignment horizontal="center" vertical="center" wrapText="1"/>
    </xf>
    <xf numFmtId="0" fontId="0" fillId="11" borderId="40" xfId="0" applyFill="1" applyBorder="1" applyAlignment="1">
      <alignment horizontal="center" vertical="center"/>
    </xf>
    <xf numFmtId="0" fontId="4" fillId="0" borderId="302" xfId="0" applyFont="1" applyBorder="1" applyAlignment="1">
      <alignment horizontal="left" vertical="center"/>
    </xf>
    <xf numFmtId="0" fontId="4" fillId="0" borderId="303" xfId="0" applyFont="1" applyBorder="1" applyAlignment="1">
      <alignment horizontal="left" vertical="center"/>
    </xf>
    <xf numFmtId="0" fontId="4" fillId="0" borderId="304" xfId="0" applyFont="1" applyBorder="1" applyAlignment="1">
      <alignment horizontal="left" vertical="center"/>
    </xf>
    <xf numFmtId="0" fontId="0" fillId="11" borderId="10" xfId="0" applyFill="1" applyBorder="1" applyAlignment="1">
      <alignment horizontal="left" vertical="center"/>
    </xf>
    <xf numFmtId="0" fontId="0" fillId="11" borderId="11" xfId="0" applyFill="1" applyBorder="1" applyAlignment="1">
      <alignment horizontal="left" vertical="center"/>
    </xf>
    <xf numFmtId="0" fontId="4" fillId="10" borderId="35" xfId="0" applyFont="1" applyFill="1" applyBorder="1" applyAlignment="1">
      <alignment horizontal="left" vertical="center"/>
    </xf>
    <xf numFmtId="0" fontId="4" fillId="10" borderId="39" xfId="0" applyFont="1" applyFill="1" applyBorder="1" applyAlignment="1">
      <alignment horizontal="left" vertical="center"/>
    </xf>
    <xf numFmtId="0" fontId="0" fillId="11" borderId="10" xfId="0" applyFill="1" applyBorder="1" applyAlignment="1">
      <alignment horizontal="center" vertical="center" wrapText="1"/>
    </xf>
    <xf numFmtId="0" fontId="0" fillId="11" borderId="10" xfId="0" applyFill="1" applyBorder="1" applyAlignment="1">
      <alignment horizontal="center" vertical="center"/>
    </xf>
    <xf numFmtId="0" fontId="4" fillId="0" borderId="40" xfId="0" applyFont="1" applyFill="1" applyBorder="1" applyAlignment="1">
      <alignment horizontal="left" vertical="center"/>
    </xf>
    <xf numFmtId="0" fontId="5" fillId="4" borderId="2" xfId="0" applyFont="1" applyFill="1" applyBorder="1" applyAlignment="1">
      <alignment horizontal="center" vertical="center"/>
    </xf>
    <xf numFmtId="0" fontId="5" fillId="3" borderId="0" xfId="0" applyFont="1" applyFill="1" applyBorder="1" applyAlignment="1">
      <alignment horizontal="center"/>
    </xf>
    <xf numFmtId="0" fontId="4" fillId="11" borderId="35" xfId="0" applyFont="1" applyFill="1" applyBorder="1" applyAlignment="1">
      <alignment horizontal="left" vertical="center"/>
    </xf>
    <xf numFmtId="0" fontId="4" fillId="11" borderId="39" xfId="0" applyFont="1" applyFill="1" applyBorder="1" applyAlignment="1">
      <alignment horizontal="left" vertical="center"/>
    </xf>
    <xf numFmtId="0" fontId="4" fillId="0" borderId="14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11" borderId="276" xfId="0" applyFont="1" applyFill="1" applyBorder="1" applyAlignment="1">
      <alignment horizontal="left" vertical="center"/>
    </xf>
    <xf numFmtId="0" fontId="4" fillId="11" borderId="277" xfId="0" applyFont="1" applyFill="1" applyBorder="1" applyAlignment="1">
      <alignment horizontal="left" vertical="center"/>
    </xf>
    <xf numFmtId="0" fontId="4" fillId="11" borderId="278" xfId="0" applyFont="1" applyFill="1" applyBorder="1" applyAlignment="1">
      <alignment horizontal="left" vertical="center"/>
    </xf>
    <xf numFmtId="0" fontId="4" fillId="0" borderId="301" xfId="0" applyFont="1" applyBorder="1" applyAlignment="1">
      <alignment horizontal="left" vertical="center"/>
    </xf>
    <xf numFmtId="0" fontId="4" fillId="0" borderId="291" xfId="0" applyFont="1" applyBorder="1" applyAlignment="1">
      <alignment horizontal="left" vertical="center"/>
    </xf>
    <xf numFmtId="0" fontId="4" fillId="0" borderId="292" xfId="0" applyFont="1" applyBorder="1" applyAlignment="1">
      <alignment horizontal="left" vertical="center"/>
    </xf>
    <xf numFmtId="0" fontId="4" fillId="0" borderId="299" xfId="0" applyFont="1" applyBorder="1" applyAlignment="1">
      <alignment horizontal="left" vertical="center"/>
    </xf>
    <xf numFmtId="0" fontId="4" fillId="0" borderId="295" xfId="0" applyFont="1" applyBorder="1" applyAlignment="1">
      <alignment horizontal="left" vertical="center"/>
    </xf>
    <xf numFmtId="0" fontId="4" fillId="0" borderId="296" xfId="0" applyFont="1" applyBorder="1" applyAlignment="1">
      <alignment horizontal="left" vertical="center"/>
    </xf>
    <xf numFmtId="0" fontId="4" fillId="0" borderId="298" xfId="0" applyFont="1" applyBorder="1" applyAlignment="1">
      <alignment horizontal="left" vertical="center"/>
    </xf>
    <xf numFmtId="0" fontId="4" fillId="0" borderId="293" xfId="0" applyFont="1" applyBorder="1" applyAlignment="1">
      <alignment horizontal="left" vertical="center"/>
    </xf>
    <xf numFmtId="0" fontId="4" fillId="0" borderId="294" xfId="0" applyFont="1" applyBorder="1" applyAlignment="1">
      <alignment horizontal="left" vertical="center"/>
    </xf>
    <xf numFmtId="0" fontId="4" fillId="0" borderId="300" xfId="0" applyFont="1" applyBorder="1" applyAlignment="1">
      <alignment horizontal="left" vertical="center"/>
    </xf>
    <xf numFmtId="0" fontId="2" fillId="2" borderId="115" xfId="0" applyFont="1" applyFill="1" applyBorder="1" applyAlignment="1">
      <alignment horizontal="center" vertical="center"/>
    </xf>
    <xf numFmtId="0" fontId="2" fillId="2" borderId="15" xfId="0" applyFont="1" applyFill="1" applyBorder="1" applyAlignment="1">
      <alignment horizontal="center" vertical="center"/>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0" xfId="0" applyFont="1" applyFill="1" applyBorder="1" applyAlignment="1">
      <alignment horizontal="center"/>
    </xf>
    <xf numFmtId="164" fontId="3" fillId="0" borderId="0" xfId="0" applyNumberFormat="1" applyFont="1" applyFill="1" applyBorder="1" applyAlignment="1">
      <alignment horizontal="center"/>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4" fillId="0" borderId="276" xfId="0" applyFont="1" applyBorder="1" applyAlignment="1">
      <alignment horizontal="left" vertical="center"/>
    </xf>
    <xf numFmtId="0" fontId="4" fillId="0" borderId="277" xfId="0" applyFont="1" applyBorder="1" applyAlignment="1">
      <alignment horizontal="left" vertical="center"/>
    </xf>
    <xf numFmtId="0" fontId="4" fillId="0" borderId="278" xfId="0" applyFont="1" applyBorder="1" applyAlignment="1">
      <alignment horizontal="left" vertical="center"/>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5" fillId="3" borderId="15" xfId="0" applyFont="1" applyFill="1" applyBorder="1" applyAlignment="1">
      <alignment horizontal="center"/>
    </xf>
    <xf numFmtId="0" fontId="4" fillId="0" borderId="31" xfId="0" applyFont="1" applyFill="1" applyBorder="1" applyAlignment="1">
      <alignment horizontal="left" vertical="center"/>
    </xf>
    <xf numFmtId="0" fontId="4" fillId="0" borderId="66"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48" xfId="0" applyFont="1" applyFill="1" applyBorder="1" applyAlignment="1">
      <alignment horizontal="left" vertical="center"/>
    </xf>
    <xf numFmtId="0" fontId="4" fillId="0" borderId="0" xfId="0" applyFont="1" applyFill="1" applyBorder="1" applyAlignment="1">
      <alignment horizontal="left" vertical="center"/>
    </xf>
    <xf numFmtId="0" fontId="4" fillId="0" borderId="30" xfId="0" applyFont="1" applyFill="1" applyBorder="1" applyAlignment="1">
      <alignment horizontal="left" vertical="center"/>
    </xf>
    <xf numFmtId="0" fontId="9" fillId="0" borderId="16" xfId="0" applyFont="1" applyFill="1" applyBorder="1" applyAlignment="1">
      <alignment horizontal="left"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62" xfId="0" applyFont="1" applyBorder="1" applyAlignment="1">
      <alignment horizontal="left" vertical="center"/>
    </xf>
    <xf numFmtId="0" fontId="4" fillId="0" borderId="284" xfId="0" applyFont="1" applyBorder="1" applyAlignment="1">
      <alignment horizontal="left" vertical="center"/>
    </xf>
    <xf numFmtId="0" fontId="4" fillId="0" borderId="285" xfId="0" applyFont="1" applyBorder="1" applyAlignment="1">
      <alignment horizontal="left" vertical="center"/>
    </xf>
    <xf numFmtId="0" fontId="4" fillId="0" borderId="50" xfId="0" applyFont="1" applyBorder="1" applyAlignment="1">
      <alignment horizontal="left" vertical="center"/>
    </xf>
    <xf numFmtId="0" fontId="4" fillId="0" borderId="37" xfId="0" applyFont="1" applyBorder="1" applyAlignment="1">
      <alignment horizontal="left" vertical="center"/>
    </xf>
    <xf numFmtId="0" fontId="4" fillId="0" borderId="286" xfId="0" applyFont="1" applyBorder="1" applyAlignment="1">
      <alignment horizontal="left" vertical="center"/>
    </xf>
    <xf numFmtId="0" fontId="4" fillId="0" borderId="22" xfId="0" applyFont="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11" borderId="10" xfId="0" applyFont="1" applyFill="1" applyBorder="1" applyAlignment="1">
      <alignment horizontal="left" vertical="center" wrapText="1"/>
    </xf>
    <xf numFmtId="0" fontId="4" fillId="11" borderId="11" xfId="0" applyFont="1" applyFill="1" applyBorder="1" applyAlignment="1">
      <alignment horizontal="left" vertical="center" wrapText="1"/>
    </xf>
    <xf numFmtId="0" fontId="2" fillId="5" borderId="26" xfId="0" applyFont="1" applyFill="1" applyBorder="1" applyAlignment="1">
      <alignment horizontal="center"/>
    </xf>
    <xf numFmtId="0" fontId="2" fillId="5" borderId="145" xfId="0" applyFont="1" applyFill="1" applyBorder="1" applyAlignment="1">
      <alignment horizontal="center"/>
    </xf>
    <xf numFmtId="164" fontId="20" fillId="8" borderId="1" xfId="0" applyNumberFormat="1" applyFont="1" applyFill="1" applyBorder="1" applyAlignment="1">
      <alignment horizontal="center"/>
    </xf>
    <xf numFmtId="164" fontId="20" fillId="8" borderId="6" xfId="0" applyNumberFormat="1" applyFont="1" applyFill="1" applyBorder="1" applyAlignment="1">
      <alignment horizontal="center"/>
    </xf>
    <xf numFmtId="0" fontId="2" fillId="5" borderId="1" xfId="0" applyFont="1" applyFill="1" applyBorder="1" applyAlignment="1">
      <alignment horizontal="center"/>
    </xf>
    <xf numFmtId="0" fontId="2" fillId="5" borderId="6" xfId="0" applyFont="1" applyFill="1" applyBorder="1" applyAlignment="1">
      <alignment horizontal="center"/>
    </xf>
    <xf numFmtId="0" fontId="5" fillId="3" borderId="3" xfId="0" applyFont="1" applyFill="1" applyBorder="1" applyAlignment="1">
      <alignment horizontal="center" vertical="top"/>
    </xf>
    <xf numFmtId="0" fontId="5" fillId="4" borderId="2" xfId="0" applyFont="1" applyFill="1" applyBorder="1" applyAlignment="1">
      <alignment horizontal="center" vertical="top"/>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321" xfId="0" applyFont="1" applyFill="1" applyBorder="1" applyAlignment="1">
      <alignment horizontal="left" vertical="center"/>
    </xf>
    <xf numFmtId="0" fontId="4" fillId="0" borderId="244" xfId="0" applyFont="1" applyBorder="1" applyAlignment="1">
      <alignment horizontal="left" vertical="center"/>
    </xf>
    <xf numFmtId="0" fontId="4" fillId="0" borderId="18" xfId="0" applyFont="1" applyBorder="1" applyAlignment="1">
      <alignment horizontal="left" vertical="center"/>
    </xf>
    <xf numFmtId="0" fontId="4" fillId="0" borderId="280" xfId="0" applyFont="1" applyBorder="1" applyAlignment="1">
      <alignment horizontal="left" vertical="center"/>
    </xf>
    <xf numFmtId="0" fontId="4" fillId="0" borderId="176" xfId="0" applyFont="1" applyBorder="1" applyAlignment="1">
      <alignment horizontal="left" vertical="center"/>
    </xf>
    <xf numFmtId="0" fontId="4" fillId="0" borderId="175" xfId="0" applyFont="1" applyBorder="1" applyAlignment="1">
      <alignment horizontal="left" vertical="center"/>
    </xf>
    <xf numFmtId="0" fontId="4" fillId="0" borderId="229" xfId="0" applyFont="1" applyBorder="1" applyAlignment="1">
      <alignment horizontal="left" vertical="center"/>
    </xf>
    <xf numFmtId="0" fontId="0" fillId="11" borderId="39" xfId="0" applyFill="1" applyBorder="1" applyAlignment="1">
      <alignment horizontal="left"/>
    </xf>
    <xf numFmtId="0" fontId="0" fillId="11" borderId="40" xfId="0" applyFill="1" applyBorder="1" applyAlignment="1">
      <alignment horizontal="left"/>
    </xf>
    <xf numFmtId="0" fontId="18" fillId="11" borderId="10" xfId="0" applyFont="1" applyFill="1" applyBorder="1" applyAlignment="1">
      <alignment horizontal="left" vertical="top" wrapText="1"/>
    </xf>
    <xf numFmtId="0" fontId="18" fillId="11" borderId="10" xfId="0" applyFont="1" applyFill="1" applyBorder="1" applyAlignment="1">
      <alignment horizontal="left" vertical="top"/>
    </xf>
    <xf numFmtId="0" fontId="0" fillId="11" borderId="35" xfId="0" applyFill="1" applyBorder="1" applyAlignment="1">
      <alignment horizontal="center" wrapText="1"/>
    </xf>
    <xf numFmtId="0" fontId="4" fillId="0" borderId="49" xfId="0" applyFont="1" applyBorder="1" applyAlignment="1">
      <alignment horizontal="left" vertical="center"/>
    </xf>
    <xf numFmtId="0" fontId="4" fillId="0" borderId="281" xfId="0" applyFont="1" applyBorder="1" applyAlignment="1">
      <alignment horizontal="left" vertical="center"/>
    </xf>
    <xf numFmtId="0" fontId="4" fillId="0" borderId="282" xfId="0" applyFont="1" applyBorder="1" applyAlignment="1">
      <alignment horizontal="left" vertical="center"/>
    </xf>
    <xf numFmtId="0" fontId="4" fillId="0" borderId="283" xfId="0" applyFont="1" applyBorder="1" applyAlignment="1">
      <alignment horizontal="left" vertical="center"/>
    </xf>
    <xf numFmtId="0" fontId="4" fillId="7" borderId="2" xfId="0" applyFont="1" applyFill="1" applyBorder="1" applyAlignment="1">
      <alignment horizontal="left" vertical="center"/>
    </xf>
    <xf numFmtId="0" fontId="4" fillId="0" borderId="289" xfId="0" applyFont="1" applyBorder="1" applyAlignment="1">
      <alignment horizontal="left" vertical="center"/>
    </xf>
    <xf numFmtId="0" fontId="4" fillId="0" borderId="31" xfId="0" applyFont="1" applyBorder="1" applyAlignment="1">
      <alignment horizontal="left" vertical="center"/>
    </xf>
    <xf numFmtId="0" fontId="4" fillId="0" borderId="312" xfId="0" applyFont="1" applyBorder="1" applyAlignment="1">
      <alignment horizontal="left" vertical="center"/>
    </xf>
    <xf numFmtId="0" fontId="9" fillId="0" borderId="35" xfId="0" applyFont="1" applyBorder="1" applyAlignment="1">
      <alignment horizontal="center" vertical="center" wrapText="1"/>
    </xf>
    <xf numFmtId="0" fontId="9" fillId="0" borderId="68" xfId="0" applyFont="1" applyBorder="1" applyAlignment="1">
      <alignment horizontal="left" vertical="center" wrapText="1"/>
    </xf>
    <xf numFmtId="0" fontId="1" fillId="0" borderId="115" xfId="0" applyFont="1" applyBorder="1" applyAlignment="1">
      <alignment horizontal="center"/>
    </xf>
    <xf numFmtId="0" fontId="1" fillId="0" borderId="15" xfId="0" applyFont="1" applyBorder="1" applyAlignment="1">
      <alignment horizontal="center"/>
    </xf>
    <xf numFmtId="0" fontId="1" fillId="0" borderId="28" xfId="0" applyFont="1" applyBorder="1" applyAlignment="1">
      <alignment horizont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53" xfId="0" applyFont="1" applyBorder="1" applyAlignment="1">
      <alignment horizontal="center" vertical="center"/>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82" xfId="0" applyBorder="1" applyAlignment="1">
      <alignment horizontal="center"/>
    </xf>
    <xf numFmtId="0" fontId="0" fillId="0" borderId="183" xfId="0" applyBorder="1" applyAlignment="1">
      <alignment horizontal="center"/>
    </xf>
    <xf numFmtId="0" fontId="0" fillId="0" borderId="184" xfId="0" applyBorder="1" applyAlignment="1">
      <alignment horizontal="center"/>
    </xf>
    <xf numFmtId="0" fontId="18" fillId="0" borderId="10" xfId="0" applyFont="1" applyFill="1" applyBorder="1" applyAlignment="1">
      <alignment vertical="top"/>
    </xf>
    <xf numFmtId="0" fontId="0" fillId="0" borderId="77" xfId="0" applyBorder="1" applyAlignment="1">
      <alignment horizont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18" fillId="0" borderId="13" xfId="0" applyFont="1" applyFill="1" applyBorder="1" applyAlignment="1">
      <alignment horizontal="left" vertical="top" wrapText="1"/>
    </xf>
    <xf numFmtId="0" fontId="18" fillId="0" borderId="10" xfId="0" applyFont="1" applyFill="1" applyBorder="1" applyAlignment="1">
      <alignment horizontal="left" vertical="top" wrapText="1"/>
    </xf>
    <xf numFmtId="0" fontId="0" fillId="0" borderId="74" xfId="0" applyBorder="1" applyAlignment="1">
      <alignment horizontal="center" vertical="center"/>
    </xf>
    <xf numFmtId="2" fontId="4" fillId="0" borderId="74" xfId="0" applyNumberFormat="1" applyFont="1" applyBorder="1" applyAlignment="1">
      <alignment horizontal="center" vertical="center" wrapText="1"/>
    </xf>
    <xf numFmtId="2" fontId="13" fillId="0" borderId="74" xfId="0" applyNumberFormat="1" applyFont="1" applyBorder="1" applyAlignment="1">
      <alignment horizontal="center" vertical="center" wrapText="1"/>
    </xf>
    <xf numFmtId="0" fontId="13" fillId="0" borderId="74" xfId="0" applyFont="1" applyBorder="1" applyAlignment="1">
      <alignment horizontal="center"/>
    </xf>
    <xf numFmtId="2" fontId="13" fillId="0" borderId="84" xfId="0" applyNumberFormat="1" applyFont="1" applyBorder="1" applyAlignment="1">
      <alignment horizontal="center" vertical="center"/>
    </xf>
    <xf numFmtId="2" fontId="13" fillId="0" borderId="85" xfId="0" applyNumberFormat="1" applyFont="1" applyBorder="1" applyAlignment="1">
      <alignment horizontal="center" vertical="center"/>
    </xf>
    <xf numFmtId="2" fontId="13" fillId="0" borderId="75" xfId="0" applyNumberFormat="1"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2" fontId="4" fillId="0" borderId="135" xfId="0" applyNumberFormat="1" applyFont="1" applyBorder="1" applyAlignment="1">
      <alignment horizontal="center" vertical="center" wrapText="1"/>
    </xf>
    <xf numFmtId="2" fontId="4" fillId="0" borderId="136" xfId="0" applyNumberFormat="1" applyFont="1" applyBorder="1" applyAlignment="1">
      <alignment horizontal="center" vertical="center" wrapText="1"/>
    </xf>
    <xf numFmtId="0" fontId="13" fillId="0" borderId="84" xfId="0" applyFont="1" applyBorder="1" applyAlignment="1">
      <alignment horizontal="center" vertical="center" wrapText="1"/>
    </xf>
    <xf numFmtId="0" fontId="13" fillId="0" borderId="75" xfId="0" applyFont="1" applyBorder="1" applyAlignment="1">
      <alignment horizontal="center" vertical="center" wrapText="1"/>
    </xf>
    <xf numFmtId="0" fontId="4" fillId="0" borderId="132" xfId="0" applyFont="1" applyBorder="1" applyAlignment="1">
      <alignment horizontal="left" vertical="center"/>
    </xf>
    <xf numFmtId="0" fontId="4" fillId="0" borderId="133" xfId="0" applyFont="1" applyBorder="1" applyAlignment="1">
      <alignment horizontal="left" vertical="center"/>
    </xf>
    <xf numFmtId="0" fontId="4" fillId="0" borderId="134" xfId="0" applyFont="1" applyBorder="1" applyAlignment="1">
      <alignment horizontal="left" vertical="center"/>
    </xf>
    <xf numFmtId="0" fontId="4" fillId="3" borderId="102" xfId="0" applyFont="1" applyFill="1" applyBorder="1" applyAlignment="1">
      <alignment horizontal="center"/>
    </xf>
    <xf numFmtId="0" fontId="4" fillId="3" borderId="103" xfId="0" applyFont="1" applyFill="1" applyBorder="1" applyAlignment="1">
      <alignment horizontal="center"/>
    </xf>
    <xf numFmtId="0" fontId="4" fillId="3" borderId="186" xfId="0" applyFont="1" applyFill="1" applyBorder="1" applyAlignment="1">
      <alignment horizontal="center"/>
    </xf>
    <xf numFmtId="0" fontId="0" fillId="0" borderId="74" xfId="0" applyBorder="1" applyAlignment="1">
      <alignment horizontal="center"/>
    </xf>
    <xf numFmtId="2" fontId="13" fillId="0" borderId="77" xfId="0" applyNumberFormat="1" applyFont="1" applyBorder="1" applyAlignment="1">
      <alignment horizontal="center" wrapText="1"/>
    </xf>
    <xf numFmtId="0" fontId="0" fillId="0" borderId="35" xfId="0" applyBorder="1" applyAlignment="1">
      <alignment horizontal="center" vertical="center" wrapText="1"/>
    </xf>
    <xf numFmtId="0" fontId="13" fillId="0" borderId="74" xfId="0" applyFont="1" applyBorder="1"/>
    <xf numFmtId="0" fontId="0" fillId="0" borderId="35" xfId="0" applyBorder="1" applyAlignment="1">
      <alignment horizontal="left" vertical="center" wrapText="1"/>
    </xf>
    <xf numFmtId="0" fontId="0" fillId="0" borderId="35" xfId="0" applyBorder="1" applyAlignment="1">
      <alignment horizontal="left" vertical="center"/>
    </xf>
    <xf numFmtId="0" fontId="5" fillId="4" borderId="191" xfId="0" applyFont="1" applyFill="1" applyBorder="1" applyAlignment="1">
      <alignment horizontal="center" vertical="top"/>
    </xf>
    <xf numFmtId="0" fontId="5" fillId="4" borderId="192" xfId="0" applyFont="1" applyFill="1" applyBorder="1" applyAlignment="1">
      <alignment horizontal="center" vertical="top"/>
    </xf>
    <xf numFmtId="0" fontId="5" fillId="4" borderId="193" xfId="0" applyFont="1" applyFill="1" applyBorder="1" applyAlignment="1">
      <alignment horizontal="center" vertical="top"/>
    </xf>
    <xf numFmtId="0" fontId="4" fillId="3" borderId="195" xfId="0" applyFont="1" applyFill="1" applyBorder="1" applyAlignment="1">
      <alignment horizontal="center"/>
    </xf>
    <xf numFmtId="0" fontId="0" fillId="0" borderId="68" xfId="0" applyBorder="1" applyAlignment="1">
      <alignment horizontal="center" vertical="center" wrapText="1"/>
    </xf>
    <xf numFmtId="0" fontId="4" fillId="0" borderId="35" xfId="0" applyFont="1" applyBorder="1" applyAlignment="1">
      <alignment horizontal="center" vertical="center" wrapText="1"/>
    </xf>
    <xf numFmtId="0" fontId="5" fillId="3" borderId="197" xfId="0" applyFont="1" applyFill="1" applyBorder="1" applyAlignment="1">
      <alignment horizontal="center" vertical="top"/>
    </xf>
    <xf numFmtId="0" fontId="5" fillId="3" borderId="198" xfId="0" applyFont="1" applyFill="1" applyBorder="1" applyAlignment="1">
      <alignment horizontal="center" vertical="top"/>
    </xf>
    <xf numFmtId="0" fontId="5" fillId="3" borderId="199" xfId="0" applyFont="1" applyFill="1" applyBorder="1" applyAlignment="1">
      <alignment horizontal="center" vertical="top"/>
    </xf>
    <xf numFmtId="0" fontId="4" fillId="4" borderId="195" xfId="0" applyFont="1" applyFill="1" applyBorder="1" applyAlignment="1">
      <alignment horizontal="center"/>
    </xf>
    <xf numFmtId="0" fontId="4" fillId="4" borderId="103" xfId="0" applyFont="1" applyFill="1" applyBorder="1" applyAlignment="1">
      <alignment horizontal="center"/>
    </xf>
    <xf numFmtId="0" fontId="4" fillId="4" borderId="186" xfId="0" applyFont="1" applyFill="1" applyBorder="1" applyAlignment="1">
      <alignment horizontal="center"/>
    </xf>
    <xf numFmtId="0" fontId="4" fillId="0" borderId="121" xfId="0" applyFont="1" applyBorder="1" applyAlignment="1">
      <alignment horizontal="left" vertical="center"/>
    </xf>
    <xf numFmtId="0" fontId="4" fillId="0" borderId="137" xfId="0" applyFont="1" applyBorder="1" applyAlignment="1">
      <alignment horizontal="left" vertical="center"/>
    </xf>
    <xf numFmtId="0" fontId="4" fillId="0" borderId="122" xfId="0" applyFont="1" applyBorder="1" applyAlignment="1">
      <alignment horizontal="left" vertical="center"/>
    </xf>
    <xf numFmtId="0" fontId="4" fillId="6" borderId="35" xfId="0" applyFont="1" applyFill="1" applyBorder="1" applyAlignment="1">
      <alignment horizontal="left" vertical="center"/>
    </xf>
    <xf numFmtId="2" fontId="13" fillId="0" borderId="77" xfId="0" applyNumberFormat="1" applyFont="1" applyBorder="1" applyAlignment="1">
      <alignment horizontal="center" vertical="center" wrapText="1"/>
    </xf>
    <xf numFmtId="0" fontId="9" fillId="0" borderId="10" xfId="0" applyFont="1" applyFill="1" applyBorder="1" applyAlignment="1">
      <alignment horizontal="left" vertical="top"/>
    </xf>
    <xf numFmtId="0" fontId="0" fillId="0" borderId="35" xfId="0" applyBorder="1" applyAlignment="1">
      <alignment horizontal="left"/>
    </xf>
    <xf numFmtId="0" fontId="5" fillId="4" borderId="207" xfId="0" applyFont="1" applyFill="1" applyBorder="1" applyAlignment="1">
      <alignment horizontal="center" vertical="top"/>
    </xf>
    <xf numFmtId="0" fontId="5" fillId="4" borderId="208" xfId="0" applyFont="1" applyFill="1" applyBorder="1" applyAlignment="1">
      <alignment horizontal="center" vertical="top"/>
    </xf>
    <xf numFmtId="0" fontId="5" fillId="4" borderId="209" xfId="0" applyFont="1" applyFill="1" applyBorder="1" applyAlignment="1">
      <alignment horizontal="center" vertical="top"/>
    </xf>
    <xf numFmtId="0" fontId="4" fillId="3" borderId="210" xfId="0" applyFont="1" applyFill="1" applyBorder="1" applyAlignment="1">
      <alignment horizontal="center"/>
    </xf>
    <xf numFmtId="0" fontId="4" fillId="3" borderId="72" xfId="0" applyFont="1" applyFill="1" applyBorder="1" applyAlignment="1">
      <alignment horizontal="center"/>
    </xf>
    <xf numFmtId="0" fontId="4" fillId="3" borderId="211" xfId="0" applyFont="1" applyFill="1" applyBorder="1" applyAlignment="1">
      <alignment horizontal="center"/>
    </xf>
    <xf numFmtId="0" fontId="13" fillId="0" borderId="74" xfId="0" applyFont="1" applyBorder="1" applyAlignment="1">
      <alignment horizontal="center" vertical="center"/>
    </xf>
    <xf numFmtId="2" fontId="13" fillId="0" borderId="74" xfId="0" applyNumberFormat="1" applyFont="1" applyBorder="1" applyAlignment="1">
      <alignment horizontal="center" vertical="center"/>
    </xf>
    <xf numFmtId="0" fontId="18" fillId="0" borderId="11" xfId="0" applyFont="1" applyFill="1" applyBorder="1" applyAlignment="1">
      <alignment horizontal="center" vertical="top" wrapText="1"/>
    </xf>
    <xf numFmtId="0" fontId="18" fillId="0" borderId="12" xfId="0" applyFont="1" applyFill="1" applyBorder="1" applyAlignment="1">
      <alignment horizontal="center" vertical="top" wrapText="1"/>
    </xf>
    <xf numFmtId="0" fontId="9" fillId="0" borderId="10" xfId="0" applyFont="1" applyFill="1" applyBorder="1" applyAlignment="1">
      <alignment horizontal="left" vertical="top" wrapText="1"/>
    </xf>
    <xf numFmtId="0" fontId="13" fillId="0" borderId="74" xfId="0" applyFont="1" applyBorder="1" applyAlignment="1">
      <alignment horizontal="center" vertical="center" wrapText="1"/>
    </xf>
    <xf numFmtId="0" fontId="0" fillId="0" borderId="35" xfId="0" applyBorder="1"/>
    <xf numFmtId="0" fontId="13" fillId="0" borderId="77" xfId="0" applyFont="1" applyBorder="1" applyAlignment="1">
      <alignment horizontal="left" vertical="center" wrapText="1"/>
    </xf>
    <xf numFmtId="0" fontId="13" fillId="0" borderId="77" xfId="0" applyFont="1" applyBorder="1" applyAlignment="1">
      <alignment horizontal="center" vertical="center" wrapText="1"/>
    </xf>
    <xf numFmtId="0" fontId="5" fillId="4" borderId="116" xfId="0" applyFont="1" applyFill="1" applyBorder="1" applyAlignment="1">
      <alignment horizontal="center" vertical="top"/>
    </xf>
    <xf numFmtId="0" fontId="5" fillId="4" borderId="104" xfId="0" applyFont="1" applyFill="1" applyBorder="1" applyAlignment="1">
      <alignment horizontal="center" vertical="top"/>
    </xf>
    <xf numFmtId="0" fontId="5" fillId="4" borderId="117" xfId="0" applyFont="1" applyFill="1" applyBorder="1" applyAlignment="1">
      <alignment horizontal="center" vertical="top"/>
    </xf>
    <xf numFmtId="0" fontId="4" fillId="3" borderId="1" xfId="0" applyFont="1" applyFill="1" applyBorder="1" applyAlignment="1">
      <alignment horizontal="center"/>
    </xf>
    <xf numFmtId="0" fontId="4" fillId="3" borderId="5" xfId="0" applyFont="1" applyFill="1" applyBorder="1" applyAlignment="1">
      <alignment horizontal="center"/>
    </xf>
    <xf numFmtId="0" fontId="4" fillId="3" borderId="2" xfId="0" applyFont="1" applyFill="1" applyBorder="1" applyAlignment="1">
      <alignment horizontal="center"/>
    </xf>
    <xf numFmtId="0" fontId="4" fillId="3" borderId="6" xfId="0" applyFont="1" applyFill="1" applyBorder="1" applyAlignment="1">
      <alignment horizontal="center"/>
    </xf>
    <xf numFmtId="0" fontId="0" fillId="0" borderId="39" xfId="0" applyBorder="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0" fontId="5" fillId="4" borderId="219" xfId="0" applyFont="1" applyFill="1" applyBorder="1" applyAlignment="1">
      <alignment horizontal="center" vertical="top"/>
    </xf>
    <xf numFmtId="0" fontId="5" fillId="4" borderId="220" xfId="0" applyFont="1" applyFill="1" applyBorder="1" applyAlignment="1">
      <alignment horizontal="center" vertical="top"/>
    </xf>
    <xf numFmtId="0" fontId="5" fillId="4" borderId="221" xfId="0" applyFont="1" applyFill="1" applyBorder="1" applyAlignment="1">
      <alignment horizontal="center" vertical="top"/>
    </xf>
    <xf numFmtId="0" fontId="4" fillId="3" borderId="7" xfId="0" applyFont="1" applyFill="1" applyBorder="1" applyAlignment="1">
      <alignment horizontal="center"/>
    </xf>
    <xf numFmtId="0" fontId="4" fillId="3" borderId="0" xfId="0" applyFont="1" applyFill="1" applyBorder="1" applyAlignment="1">
      <alignment horizontal="center"/>
    </xf>
    <xf numFmtId="0" fontId="4" fillId="3" borderId="8" xfId="0" applyFont="1" applyFill="1" applyBorder="1" applyAlignment="1">
      <alignment horizontal="center"/>
    </xf>
    <xf numFmtId="0" fontId="4" fillId="6" borderId="68" xfId="0" applyFont="1" applyFill="1" applyBorder="1" applyAlignment="1">
      <alignment horizontal="center" vertical="center" wrapText="1"/>
    </xf>
  </cellXfs>
  <cellStyles count="5">
    <cellStyle name="Moeda" xfId="1" builtinId="4"/>
    <cellStyle name="Moeda 2" xfId="4"/>
    <cellStyle name="Normal" xfId="0" builtinId="0"/>
    <cellStyle name="Porcentagem" xfId="3" builtinId="5"/>
    <cellStyle name="Vírgula" xfId="2" builtinId="3"/>
  </cellStyles>
  <dxfs count="13">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
      <font>
        <b/>
        <i val="0"/>
      </font>
      <fill>
        <patternFill>
          <bgColor theme="0" tint="-0.14996795556505021"/>
        </patternFill>
      </fill>
      <border>
        <left/>
        <right/>
        <top style="thin">
          <color indexed="64"/>
        </top>
        <bottom style="thin">
          <color indexed="64"/>
        </bottom>
      </border>
    </dxf>
  </dxfs>
  <tableStyles count="0" defaultTableStyle="TableStyleMedium2" defaultPivotStyle="PivotStyleLight16"/>
  <colors>
    <mruColors>
      <color rgb="FFFF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127074</xdr:colOff>
      <xdr:row>2</xdr:row>
      <xdr:rowOff>98839</xdr:rowOff>
    </xdr:from>
    <xdr:ext cx="7254801" cy="1500388"/>
    <xdr:pic>
      <xdr:nvPicPr>
        <xdr:cNvPr id="3" name="Imagem 2">
          <a:extLst>
            <a:ext uri="{FF2B5EF4-FFF2-40B4-BE49-F238E27FC236}">
              <a16:creationId xmlns="" xmlns:a16="http://schemas.microsoft.com/office/drawing/2014/main" id="{0391FFD9-0087-499F-BCB8-348B980B6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9574" y="495714"/>
          <a:ext cx="7254801" cy="1500388"/>
        </a:xfrm>
        <a:prstGeom prst="rect">
          <a:avLst/>
        </a:prstGeom>
        <a:noFill/>
        <a:effectLst>
          <a:outerShdw blurRad="50800" dist="50800" dir="5400000" algn="ctr" rotWithShape="0">
            <a:schemeClr val="tx1">
              <a:lumMod val="50000"/>
              <a:lumOff val="50000"/>
            </a:schemeClr>
          </a:outerShdw>
        </a:effectLst>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ferson.faria\Desktop\Construtora%20Abra\EDUARDO%20RABELO\ESTRUTURA\LEVANTAMENTO%20DE%20QUANTIDADES_RECUPERA&#199;&#195;O%20ESTRUTURAL_R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RO DE IMAGEM"/>
      <sheetName val="ALA &quot;C&quot;"/>
      <sheetName val="ALA &quot;B&quot;"/>
      <sheetName val="PATRIMÔNIO"/>
      <sheetName val="CME"/>
      <sheetName val="LABORATÓRIO"/>
      <sheetName val="CTI"/>
      <sheetName val="ALA A"/>
      <sheetName val="ALA E"/>
      <sheetName val="AMBULATÓRIO"/>
      <sheetName val="ARQUIVO MORTO-ALMOXARIFADO"/>
      <sheetName val="COZINHA"/>
      <sheetName val="ENFERMAGEM"/>
      <sheetName val="HOSPITAL DO OLHO"/>
      <sheetName val="ADMINISTRATIVO_RECEPÇÃO"/>
      <sheetName val="RESUMO"/>
    </sheetNames>
    <sheetDataSet>
      <sheetData sheetId="0">
        <row r="10">
          <cell r="C10" t="str">
            <v>CENTRO DE IMAGEM</v>
          </cell>
        </row>
      </sheetData>
      <sheetData sheetId="1">
        <row r="10">
          <cell r="C10" t="str">
            <v>ALA " C"</v>
          </cell>
        </row>
      </sheetData>
      <sheetData sheetId="2">
        <row r="10">
          <cell r="C10" t="str">
            <v>ALA " B"</v>
          </cell>
        </row>
      </sheetData>
      <sheetData sheetId="3">
        <row r="10">
          <cell r="C10" t="str">
            <v>PATRIMÔNIO</v>
          </cell>
        </row>
      </sheetData>
      <sheetData sheetId="4">
        <row r="10">
          <cell r="C10" t="str">
            <v>CME</v>
          </cell>
        </row>
      </sheetData>
      <sheetData sheetId="5">
        <row r="10">
          <cell r="C10" t="str">
            <v>LABORATÓRIO</v>
          </cell>
        </row>
      </sheetData>
      <sheetData sheetId="6">
        <row r="4">
          <cell r="C4" t="str">
            <v>HOSPITAL ESTADUAL EDUARDO RABELLO</v>
          </cell>
        </row>
        <row r="5">
          <cell r="C5" t="str">
            <v>LEVANTAMENTO DE QUANTIDADES</v>
          </cell>
        </row>
        <row r="10">
          <cell r="C10" t="str">
            <v>CTI</v>
          </cell>
        </row>
      </sheetData>
      <sheetData sheetId="7">
        <row r="10">
          <cell r="C10" t="str">
            <v>ALA - A</v>
          </cell>
        </row>
      </sheetData>
      <sheetData sheetId="8">
        <row r="10">
          <cell r="C10" t="str">
            <v>ALA - E</v>
          </cell>
        </row>
      </sheetData>
      <sheetData sheetId="9">
        <row r="10">
          <cell r="C10" t="str">
            <v>AMBULATÓRIO</v>
          </cell>
        </row>
      </sheetData>
      <sheetData sheetId="10"/>
      <sheetData sheetId="11">
        <row r="10">
          <cell r="C10" t="str">
            <v>COZINHA</v>
          </cell>
        </row>
      </sheetData>
      <sheetData sheetId="12">
        <row r="10">
          <cell r="C10" t="str">
            <v>ENFERMAGEM</v>
          </cell>
        </row>
      </sheetData>
      <sheetData sheetId="13">
        <row r="10">
          <cell r="C10" t="str">
            <v>HOSPITAL  DO OLHO</v>
          </cell>
        </row>
      </sheetData>
      <sheetData sheetId="14">
        <row r="10">
          <cell r="C10" t="str">
            <v>ADMINISTRATIVO/RECEPÇÃO</v>
          </cell>
        </row>
      </sheetData>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
    <pageSetUpPr fitToPage="1"/>
  </sheetPr>
  <dimension ref="A2:DI376"/>
  <sheetViews>
    <sheetView view="pageBreakPreview" topLeftCell="A335" zoomScale="70" zoomScaleNormal="50" zoomScaleSheetLayoutView="70" workbookViewId="0">
      <selection activeCell="N328" sqref="N328:N363"/>
    </sheetView>
  </sheetViews>
  <sheetFormatPr defaultColWidth="10.85546875" defaultRowHeight="15" x14ac:dyDescent="0.25"/>
  <cols>
    <col min="1" max="1" width="11.28515625" bestFit="1" customWidth="1"/>
    <col min="2" max="2" width="2.7109375" customWidth="1"/>
    <col min="3" max="3" width="49.140625" style="503" customWidth="1"/>
    <col min="4" max="4" width="35.7109375" customWidth="1"/>
    <col min="6" max="6" width="13.5703125" customWidth="1"/>
    <col min="7" max="7" width="14.7109375" customWidth="1"/>
    <col min="8" max="8" width="12.28515625" customWidth="1"/>
    <col min="9" max="9" width="24.5703125" customWidth="1"/>
    <col min="10" max="10" width="29.85546875" customWidth="1"/>
    <col min="11" max="11" width="7.28515625" bestFit="1" customWidth="1"/>
    <col min="12" max="12" width="21.140625" customWidth="1"/>
    <col min="13" max="13" width="12.140625" style="48" customWidth="1"/>
    <col min="14" max="14" width="37.85546875" customWidth="1"/>
    <col min="15" max="15" width="21" bestFit="1" customWidth="1"/>
    <col min="16" max="16" width="15.7109375" style="6" customWidth="1"/>
    <col min="17" max="17" width="26.7109375" customWidth="1"/>
  </cols>
  <sheetData>
    <row r="2" spans="3:17" ht="15.75" thickBot="1" x14ac:dyDescent="0.3"/>
    <row r="3" spans="3:17" x14ac:dyDescent="0.25">
      <c r="C3" s="504"/>
      <c r="D3" s="432"/>
      <c r="E3" s="432"/>
      <c r="F3" s="432"/>
      <c r="G3" s="432"/>
      <c r="H3" s="432"/>
      <c r="I3" s="432"/>
      <c r="J3" s="432"/>
      <c r="K3" s="432"/>
      <c r="L3" s="432"/>
      <c r="M3" s="433"/>
      <c r="N3" s="432"/>
      <c r="O3" s="434"/>
    </row>
    <row r="4" spans="3:17" x14ac:dyDescent="0.25">
      <c r="C4" s="505"/>
      <c r="D4" s="24"/>
      <c r="E4" s="24"/>
      <c r="F4" s="24"/>
      <c r="G4" s="24"/>
      <c r="H4" s="24"/>
      <c r="I4" s="24"/>
      <c r="J4" s="24"/>
      <c r="K4" s="47"/>
      <c r="L4" s="24"/>
      <c r="M4" s="351"/>
      <c r="N4" s="24"/>
      <c r="O4" s="170"/>
    </row>
    <row r="5" spans="3:17" ht="15" customHeight="1" x14ac:dyDescent="0.25">
      <c r="C5" s="505"/>
      <c r="D5" s="24"/>
      <c r="E5" s="24"/>
      <c r="F5" s="24"/>
      <c r="G5" s="24"/>
      <c r="H5" s="24"/>
      <c r="I5" s="24"/>
      <c r="J5" s="37"/>
      <c r="K5" s="388"/>
      <c r="L5" s="36"/>
      <c r="M5" s="351"/>
      <c r="N5" s="24"/>
      <c r="O5" s="170"/>
    </row>
    <row r="6" spans="3:17" ht="34.5" customHeight="1" x14ac:dyDescent="0.25">
      <c r="C6" s="505"/>
      <c r="D6" s="24"/>
      <c r="E6" s="24"/>
      <c r="F6" s="24"/>
      <c r="G6" s="24"/>
      <c r="H6" s="24"/>
      <c r="I6" s="24"/>
      <c r="J6" s="24"/>
      <c r="K6" s="25"/>
      <c r="L6" s="24"/>
      <c r="M6" s="351"/>
      <c r="N6" s="24"/>
      <c r="O6" s="170"/>
    </row>
    <row r="7" spans="3:17" ht="15" customHeight="1" x14ac:dyDescent="0.25">
      <c r="C7" s="505"/>
      <c r="D7" s="24"/>
      <c r="E7" s="24"/>
      <c r="F7" s="24"/>
      <c r="G7" s="24"/>
      <c r="H7" s="24"/>
      <c r="I7" s="24"/>
      <c r="J7" s="24"/>
      <c r="K7" s="24"/>
      <c r="L7" s="24"/>
      <c r="M7" s="351"/>
      <c r="N7" s="24"/>
      <c r="O7" s="170"/>
    </row>
    <row r="8" spans="3:17" ht="15" customHeight="1" x14ac:dyDescent="0.25">
      <c r="C8" s="505"/>
      <c r="D8" s="24"/>
      <c r="E8" s="24"/>
      <c r="F8" s="24"/>
      <c r="G8" s="24"/>
      <c r="H8" s="24"/>
      <c r="I8" s="24"/>
      <c r="J8" s="24"/>
      <c r="K8" s="24"/>
      <c r="L8" s="24"/>
      <c r="M8" s="351"/>
      <c r="N8" s="24"/>
      <c r="O8" s="170"/>
    </row>
    <row r="9" spans="3:17" ht="23.45" customHeight="1" x14ac:dyDescent="0.35">
      <c r="C9" s="506"/>
      <c r="D9" s="211"/>
      <c r="E9" s="211"/>
      <c r="F9" s="211"/>
      <c r="G9" s="211"/>
      <c r="H9" s="211"/>
      <c r="I9" s="211"/>
      <c r="J9" s="211"/>
      <c r="K9" s="211"/>
      <c r="L9" s="24"/>
      <c r="M9" s="351"/>
      <c r="N9" s="24"/>
      <c r="O9" s="170"/>
    </row>
    <row r="10" spans="3:17" ht="23.25" x14ac:dyDescent="0.35">
      <c r="C10" s="506" t="s">
        <v>430</v>
      </c>
      <c r="D10" s="211" t="s">
        <v>431</v>
      </c>
      <c r="E10" s="211"/>
      <c r="F10" s="211"/>
      <c r="G10" s="211"/>
      <c r="H10" s="211"/>
      <c r="I10" s="211"/>
      <c r="J10" s="211"/>
      <c r="K10" s="211"/>
      <c r="L10" s="24"/>
      <c r="M10" s="351"/>
      <c r="N10" s="24"/>
      <c r="O10" s="170"/>
    </row>
    <row r="11" spans="3:17" ht="23.25" x14ac:dyDescent="0.35">
      <c r="C11" s="506" t="s">
        <v>432</v>
      </c>
      <c r="D11" s="211" t="s">
        <v>433</v>
      </c>
      <c r="E11" s="211"/>
      <c r="F11" s="211"/>
      <c r="G11" s="211"/>
      <c r="H11" s="211"/>
      <c r="I11" s="211"/>
      <c r="J11" s="211"/>
      <c r="K11" s="211"/>
      <c r="L11" s="212"/>
      <c r="M11" s="351"/>
      <c r="N11" s="213"/>
      <c r="O11" s="170"/>
    </row>
    <row r="12" spans="3:17" ht="15.75" thickBot="1" x14ac:dyDescent="0.3">
      <c r="C12" s="507"/>
      <c r="D12" s="182"/>
      <c r="E12" s="182"/>
      <c r="F12" s="182"/>
      <c r="G12" s="182"/>
      <c r="H12" s="182"/>
      <c r="I12" s="182"/>
      <c r="J12" s="182"/>
      <c r="K12" s="182"/>
      <c r="L12" s="182"/>
      <c r="M12" s="435"/>
      <c r="N12" s="182"/>
      <c r="O12" s="183"/>
    </row>
    <row r="13" spans="3:17" ht="24" thickBot="1" x14ac:dyDescent="0.4">
      <c r="C13" s="1007" t="s">
        <v>0</v>
      </c>
      <c r="D13" s="1008"/>
      <c r="E13" s="1008"/>
      <c r="F13" s="1008"/>
      <c r="G13" s="1008"/>
      <c r="H13" s="1008"/>
      <c r="I13" s="1008"/>
      <c r="J13" s="1008"/>
      <c r="K13" s="1008"/>
      <c r="L13" s="487"/>
      <c r="M13" s="488"/>
      <c r="N13" s="489"/>
      <c r="O13" s="490"/>
    </row>
    <row r="14" spans="3:17" ht="20.25" customHeight="1" thickBot="1" x14ac:dyDescent="0.3">
      <c r="C14" s="491"/>
      <c r="D14" s="452" t="s">
        <v>1</v>
      </c>
      <c r="E14" s="1056" t="s">
        <v>713</v>
      </c>
      <c r="F14" s="1056"/>
      <c r="G14" s="1056"/>
      <c r="H14" s="1056"/>
      <c r="I14" s="1056"/>
      <c r="J14" s="1056"/>
      <c r="K14" s="1056"/>
      <c r="L14" s="441"/>
      <c r="M14" s="441"/>
      <c r="N14" s="441"/>
      <c r="O14" s="442"/>
      <c r="Q14" s="492"/>
    </row>
    <row r="15" spans="3:17" ht="20.25" customHeight="1" thickBot="1" x14ac:dyDescent="0.3">
      <c r="C15" s="793"/>
      <c r="D15" s="1055" t="s">
        <v>682</v>
      </c>
      <c r="E15" s="1055"/>
      <c r="F15" s="1055"/>
      <c r="G15" s="1055"/>
      <c r="H15" s="1055"/>
      <c r="I15" s="1055"/>
      <c r="J15" s="1055"/>
      <c r="K15" s="1055"/>
      <c r="L15" s="794" t="s">
        <v>80</v>
      </c>
      <c r="M15" s="795" t="s">
        <v>78</v>
      </c>
      <c r="N15" s="794" t="s">
        <v>79</v>
      </c>
      <c r="O15" s="794" t="s">
        <v>81</v>
      </c>
    </row>
    <row r="16" spans="3:17" ht="20.25" customHeight="1" x14ac:dyDescent="0.25">
      <c r="C16" s="345" t="s">
        <v>714</v>
      </c>
      <c r="D16" s="412" t="s">
        <v>640</v>
      </c>
      <c r="E16" s="953" t="s">
        <v>641</v>
      </c>
      <c r="F16" s="954"/>
      <c r="G16" s="954"/>
      <c r="H16" s="954"/>
      <c r="I16" s="954"/>
      <c r="J16" s="954"/>
      <c r="K16" s="955"/>
      <c r="L16" s="363" t="s">
        <v>5</v>
      </c>
      <c r="M16" s="384">
        <v>6091.2</v>
      </c>
      <c r="N16" s="347"/>
      <c r="O16" s="348">
        <f t="shared" ref="O16:O36" si="0">M16*N16</f>
        <v>0</v>
      </c>
      <c r="Q16" s="869"/>
    </row>
    <row r="17" spans="3:17" ht="20.25" customHeight="1" x14ac:dyDescent="0.25">
      <c r="C17" s="345" t="s">
        <v>714</v>
      </c>
      <c r="D17" s="412" t="s">
        <v>659</v>
      </c>
      <c r="E17" s="953" t="s">
        <v>660</v>
      </c>
      <c r="F17" s="954"/>
      <c r="G17" s="954"/>
      <c r="H17" s="954"/>
      <c r="I17" s="954"/>
      <c r="J17" s="954"/>
      <c r="K17" s="955"/>
      <c r="L17" s="363" t="s">
        <v>5</v>
      </c>
      <c r="M17" s="384">
        <v>6091.2</v>
      </c>
      <c r="N17" s="347"/>
      <c r="O17" s="348">
        <f t="shared" ref="O17:O25" si="1">M17*N17</f>
        <v>0</v>
      </c>
      <c r="Q17" s="436"/>
    </row>
    <row r="18" spans="3:17" ht="20.25" customHeight="1" x14ac:dyDescent="0.25">
      <c r="C18" s="345" t="s">
        <v>714</v>
      </c>
      <c r="D18" s="412" t="s">
        <v>666</v>
      </c>
      <c r="E18" s="953" t="s">
        <v>665</v>
      </c>
      <c r="F18" s="954"/>
      <c r="G18" s="954"/>
      <c r="H18" s="954"/>
      <c r="I18" s="954"/>
      <c r="J18" s="954"/>
      <c r="K18" s="955"/>
      <c r="L18" s="363" t="s">
        <v>5</v>
      </c>
      <c r="M18" s="384">
        <v>2707.355</v>
      </c>
      <c r="N18" s="347"/>
      <c r="O18" s="348">
        <f t="shared" si="1"/>
        <v>0</v>
      </c>
      <c r="Q18" s="870"/>
    </row>
    <row r="19" spans="3:17" ht="20.25" customHeight="1" x14ac:dyDescent="0.25">
      <c r="C19" s="345" t="s">
        <v>714</v>
      </c>
      <c r="D19" s="412" t="s">
        <v>668</v>
      </c>
      <c r="E19" s="953" t="s">
        <v>667</v>
      </c>
      <c r="F19" s="954"/>
      <c r="G19" s="954"/>
      <c r="H19" s="954"/>
      <c r="I19" s="954"/>
      <c r="J19" s="954"/>
      <c r="K19" s="955"/>
      <c r="L19" s="363" t="s">
        <v>48</v>
      </c>
      <c r="M19" s="384">
        <v>412.39</v>
      </c>
      <c r="N19" s="347"/>
      <c r="O19" s="348">
        <f t="shared" si="1"/>
        <v>0</v>
      </c>
      <c r="Q19" s="436"/>
    </row>
    <row r="20" spans="3:17" ht="20.25" customHeight="1" x14ac:dyDescent="0.25">
      <c r="C20" s="345" t="s">
        <v>714</v>
      </c>
      <c r="D20" s="412" t="s">
        <v>670</v>
      </c>
      <c r="E20" s="953" t="s">
        <v>669</v>
      </c>
      <c r="F20" s="954"/>
      <c r="G20" s="954"/>
      <c r="H20" s="954"/>
      <c r="I20" s="954"/>
      <c r="J20" s="954"/>
      <c r="K20" s="955"/>
      <c r="L20" s="363" t="s">
        <v>6</v>
      </c>
      <c r="M20" s="384">
        <v>116.708</v>
      </c>
      <c r="N20" s="347"/>
      <c r="O20" s="348">
        <f t="shared" si="1"/>
        <v>0</v>
      </c>
      <c r="Q20" s="436"/>
    </row>
    <row r="21" spans="3:17" ht="20.25" customHeight="1" x14ac:dyDescent="0.25">
      <c r="C21" s="345" t="s">
        <v>714</v>
      </c>
      <c r="D21" s="412" t="s">
        <v>671</v>
      </c>
      <c r="E21" s="953" t="s">
        <v>672</v>
      </c>
      <c r="F21" s="954"/>
      <c r="G21" s="954"/>
      <c r="H21" s="954"/>
      <c r="I21" s="954"/>
      <c r="J21" s="954"/>
      <c r="K21" s="955"/>
      <c r="L21" s="363" t="s">
        <v>5</v>
      </c>
      <c r="M21" s="384">
        <v>2707.355</v>
      </c>
      <c r="N21" s="347"/>
      <c r="O21" s="348">
        <f t="shared" si="1"/>
        <v>0</v>
      </c>
      <c r="Q21" s="436"/>
    </row>
    <row r="22" spans="3:17" ht="20.25" customHeight="1" x14ac:dyDescent="0.25">
      <c r="C22" s="345" t="s">
        <v>714</v>
      </c>
      <c r="D22" s="412" t="s">
        <v>673</v>
      </c>
      <c r="E22" s="953" t="s">
        <v>674</v>
      </c>
      <c r="F22" s="954"/>
      <c r="G22" s="954"/>
      <c r="H22" s="954"/>
      <c r="I22" s="954"/>
      <c r="J22" s="954"/>
      <c r="K22" s="955"/>
      <c r="L22" s="363" t="s">
        <v>5</v>
      </c>
      <c r="M22" s="384">
        <v>2707.355</v>
      </c>
      <c r="N22" s="347"/>
      <c r="O22" s="348">
        <f t="shared" si="1"/>
        <v>0</v>
      </c>
      <c r="Q22" s="436"/>
    </row>
    <row r="23" spans="3:17" ht="20.25" customHeight="1" x14ac:dyDescent="0.25">
      <c r="C23" s="345" t="s">
        <v>714</v>
      </c>
      <c r="D23" s="412" t="s">
        <v>675</v>
      </c>
      <c r="E23" s="953" t="s">
        <v>676</v>
      </c>
      <c r="F23" s="954"/>
      <c r="G23" s="954"/>
      <c r="H23" s="954"/>
      <c r="I23" s="954"/>
      <c r="J23" s="954"/>
      <c r="K23" s="955"/>
      <c r="L23" s="363" t="s">
        <v>6</v>
      </c>
      <c r="M23" s="384">
        <v>116.708</v>
      </c>
      <c r="N23" s="347"/>
      <c r="O23" s="348">
        <f t="shared" si="1"/>
        <v>0</v>
      </c>
      <c r="Q23" s="436"/>
    </row>
    <row r="24" spans="3:17" ht="20.25" customHeight="1" x14ac:dyDescent="0.25">
      <c r="C24" s="345" t="s">
        <v>714</v>
      </c>
      <c r="D24" s="412" t="s">
        <v>679</v>
      </c>
      <c r="E24" s="953" t="s">
        <v>678</v>
      </c>
      <c r="F24" s="954"/>
      <c r="G24" s="954"/>
      <c r="H24" s="954"/>
      <c r="I24" s="954"/>
      <c r="J24" s="954"/>
      <c r="K24" s="955"/>
      <c r="L24" s="363" t="s">
        <v>5</v>
      </c>
      <c r="M24" s="384">
        <v>2707.355</v>
      </c>
      <c r="N24" s="347"/>
      <c r="O24" s="348">
        <f t="shared" si="1"/>
        <v>0</v>
      </c>
      <c r="Q24" s="436"/>
    </row>
    <row r="25" spans="3:17" ht="20.25" customHeight="1" x14ac:dyDescent="0.25">
      <c r="C25" s="345" t="s">
        <v>714</v>
      </c>
      <c r="D25" s="412" t="s">
        <v>680</v>
      </c>
      <c r="E25" s="953" t="s">
        <v>681</v>
      </c>
      <c r="F25" s="954"/>
      <c r="G25" s="954"/>
      <c r="H25" s="954"/>
      <c r="I25" s="954"/>
      <c r="J25" s="954"/>
      <c r="K25" s="955"/>
      <c r="L25" s="363" t="s">
        <v>5</v>
      </c>
      <c r="M25" s="384">
        <v>2707.355</v>
      </c>
      <c r="N25" s="347"/>
      <c r="O25" s="348">
        <f t="shared" si="1"/>
        <v>0</v>
      </c>
      <c r="Q25" s="436"/>
    </row>
    <row r="26" spans="3:17" ht="20.25" customHeight="1" x14ac:dyDescent="0.25">
      <c r="C26" s="345" t="s">
        <v>714</v>
      </c>
      <c r="D26" s="412" t="s">
        <v>663</v>
      </c>
      <c r="E26" s="953" t="s">
        <v>664</v>
      </c>
      <c r="F26" s="954"/>
      <c r="G26" s="954"/>
      <c r="H26" s="954"/>
      <c r="I26" s="954"/>
      <c r="J26" s="954"/>
      <c r="K26" s="955"/>
      <c r="L26" s="363" t="s">
        <v>5</v>
      </c>
      <c r="M26" s="384">
        <v>2707.355</v>
      </c>
      <c r="N26" s="347"/>
      <c r="O26" s="348">
        <f t="shared" ref="O26:O27" si="2">M26*N26</f>
        <v>0</v>
      </c>
      <c r="Q26" s="436"/>
    </row>
    <row r="27" spans="3:17" ht="20.25" customHeight="1" x14ac:dyDescent="0.25">
      <c r="C27" s="345" t="s">
        <v>714</v>
      </c>
      <c r="D27" s="412" t="s">
        <v>662</v>
      </c>
      <c r="E27" s="953" t="s">
        <v>661</v>
      </c>
      <c r="F27" s="954"/>
      <c r="G27" s="954"/>
      <c r="H27" s="954"/>
      <c r="I27" s="954"/>
      <c r="J27" s="954"/>
      <c r="K27" s="955"/>
      <c r="L27" s="363" t="s">
        <v>6</v>
      </c>
      <c r="M27" s="384">
        <f>116.708</f>
        <v>116.708</v>
      </c>
      <c r="N27" s="347"/>
      <c r="O27" s="348">
        <f t="shared" si="2"/>
        <v>0</v>
      </c>
      <c r="Q27" s="436"/>
    </row>
    <row r="28" spans="3:17" ht="20.25" customHeight="1" x14ac:dyDescent="0.25">
      <c r="C28" s="345" t="s">
        <v>714</v>
      </c>
      <c r="D28" s="412" t="s">
        <v>643</v>
      </c>
      <c r="E28" s="953" t="s">
        <v>644</v>
      </c>
      <c r="F28" s="954"/>
      <c r="G28" s="954"/>
      <c r="H28" s="954"/>
      <c r="I28" s="954"/>
      <c r="J28" s="954"/>
      <c r="K28" s="955"/>
      <c r="L28" s="363" t="s">
        <v>6</v>
      </c>
      <c r="M28" s="384">
        <v>81.22</v>
      </c>
      <c r="N28" s="347"/>
      <c r="O28" s="348">
        <f t="shared" si="0"/>
        <v>0</v>
      </c>
      <c r="Q28" s="436"/>
    </row>
    <row r="29" spans="3:17" ht="20.25" customHeight="1" x14ac:dyDescent="0.25">
      <c r="C29" s="345" t="s">
        <v>714</v>
      </c>
      <c r="D29" s="412" t="s">
        <v>45</v>
      </c>
      <c r="E29" s="953" t="s">
        <v>645</v>
      </c>
      <c r="F29" s="954"/>
      <c r="G29" s="954"/>
      <c r="H29" s="954"/>
      <c r="I29" s="954"/>
      <c r="J29" s="954"/>
      <c r="K29" s="955"/>
      <c r="L29" s="363" t="s">
        <v>6</v>
      </c>
      <c r="M29" s="384">
        <v>116.708</v>
      </c>
      <c r="N29" s="347"/>
      <c r="O29" s="348">
        <f t="shared" si="0"/>
        <v>0</v>
      </c>
      <c r="Q29" s="436"/>
    </row>
    <row r="30" spans="3:17" ht="20.25" customHeight="1" x14ac:dyDescent="0.25">
      <c r="C30" s="345" t="s">
        <v>714</v>
      </c>
      <c r="D30" s="412" t="s">
        <v>44</v>
      </c>
      <c r="E30" s="953" t="s">
        <v>677</v>
      </c>
      <c r="F30" s="954"/>
      <c r="G30" s="954"/>
      <c r="H30" s="954"/>
      <c r="I30" s="954"/>
      <c r="J30" s="954"/>
      <c r="K30" s="955"/>
      <c r="L30" s="363" t="s">
        <v>80</v>
      </c>
      <c r="M30" s="384">
        <v>46</v>
      </c>
      <c r="N30" s="347"/>
      <c r="O30" s="348">
        <f t="shared" si="0"/>
        <v>0</v>
      </c>
      <c r="Q30" s="436"/>
    </row>
    <row r="31" spans="3:17" ht="20.25" customHeight="1" x14ac:dyDescent="0.25">
      <c r="C31" s="345" t="s">
        <v>714</v>
      </c>
      <c r="D31" s="383" t="s">
        <v>646</v>
      </c>
      <c r="E31" s="1031" t="s">
        <v>647</v>
      </c>
      <c r="F31" s="1031"/>
      <c r="G31" s="1031"/>
      <c r="H31" s="1031"/>
      <c r="I31" s="1031"/>
      <c r="J31" s="1031"/>
      <c r="K31" s="1031"/>
      <c r="L31" s="698" t="s">
        <v>5</v>
      </c>
      <c r="M31" s="437">
        <v>2707.355</v>
      </c>
      <c r="N31" s="438"/>
      <c r="O31" s="439">
        <f t="shared" si="0"/>
        <v>0</v>
      </c>
      <c r="Q31" s="436"/>
    </row>
    <row r="32" spans="3:17" ht="20.25" customHeight="1" x14ac:dyDescent="0.25">
      <c r="C32" s="345" t="s">
        <v>714</v>
      </c>
      <c r="D32" s="412" t="s">
        <v>648</v>
      </c>
      <c r="E32" s="953" t="s">
        <v>649</v>
      </c>
      <c r="F32" s="954"/>
      <c r="G32" s="954"/>
      <c r="H32" s="954"/>
      <c r="I32" s="954"/>
      <c r="J32" s="954"/>
      <c r="K32" s="955"/>
      <c r="L32" s="363" t="s">
        <v>48</v>
      </c>
      <c r="M32" s="384">
        <v>11043.357499999998</v>
      </c>
      <c r="N32" s="347"/>
      <c r="O32" s="348">
        <f t="shared" si="0"/>
        <v>0</v>
      </c>
      <c r="Q32" s="436"/>
    </row>
    <row r="33" spans="1:113" ht="20.25" customHeight="1" x14ac:dyDescent="0.25">
      <c r="C33" s="345" t="s">
        <v>714</v>
      </c>
      <c r="D33" s="383" t="s">
        <v>650</v>
      </c>
      <c r="E33" s="1028" t="s">
        <v>651</v>
      </c>
      <c r="F33" s="1029"/>
      <c r="G33" s="1029"/>
      <c r="H33" s="1029"/>
      <c r="I33" s="1029"/>
      <c r="J33" s="1029"/>
      <c r="K33" s="1030"/>
      <c r="L33" s="698" t="s">
        <v>48</v>
      </c>
      <c r="M33" s="384">
        <v>11043.357499999998</v>
      </c>
      <c r="N33" s="347"/>
      <c r="O33" s="348">
        <f t="shared" si="0"/>
        <v>0</v>
      </c>
      <c r="Q33" s="436"/>
    </row>
    <row r="34" spans="1:113" ht="20.25" customHeight="1" x14ac:dyDescent="0.25">
      <c r="C34" s="345" t="s">
        <v>714</v>
      </c>
      <c r="D34" s="383" t="s">
        <v>652</v>
      </c>
      <c r="E34" s="1031" t="s">
        <v>653</v>
      </c>
      <c r="F34" s="1031"/>
      <c r="G34" s="1031"/>
      <c r="H34" s="1031"/>
      <c r="I34" s="1031"/>
      <c r="J34" s="1031"/>
      <c r="K34" s="1031"/>
      <c r="L34" s="698" t="s">
        <v>5</v>
      </c>
      <c r="M34" s="437">
        <v>2707.355</v>
      </c>
      <c r="N34" s="438"/>
      <c r="O34" s="348">
        <f t="shared" si="0"/>
        <v>0</v>
      </c>
      <c r="Q34" s="436"/>
    </row>
    <row r="35" spans="1:113" ht="20.25" customHeight="1" x14ac:dyDescent="0.25">
      <c r="C35" s="345" t="s">
        <v>714</v>
      </c>
      <c r="D35" s="383" t="s">
        <v>654</v>
      </c>
      <c r="E35" s="1031" t="s">
        <v>655</v>
      </c>
      <c r="F35" s="1031"/>
      <c r="G35" s="1031"/>
      <c r="H35" s="1031"/>
      <c r="I35" s="1031"/>
      <c r="J35" s="1031"/>
      <c r="K35" s="1031"/>
      <c r="L35" s="698" t="s">
        <v>5</v>
      </c>
      <c r="M35" s="437">
        <v>2707.355</v>
      </c>
      <c r="N35" s="438"/>
      <c r="O35" s="439">
        <f t="shared" si="0"/>
        <v>0</v>
      </c>
      <c r="Q35" s="436"/>
    </row>
    <row r="36" spans="1:113" ht="17.45" customHeight="1" thickBot="1" x14ac:dyDescent="0.3">
      <c r="C36" s="367" t="s">
        <v>714</v>
      </c>
      <c r="D36" s="728" t="s">
        <v>46</v>
      </c>
      <c r="E36" s="1032" t="s">
        <v>47</v>
      </c>
      <c r="F36" s="1033"/>
      <c r="G36" s="1033"/>
      <c r="H36" s="1033"/>
      <c r="I36" s="1033"/>
      <c r="J36" s="1033"/>
      <c r="K36" s="1034"/>
      <c r="L36" s="411" t="s">
        <v>6</v>
      </c>
      <c r="M36" s="385">
        <v>226.81</v>
      </c>
      <c r="N36" s="386"/>
      <c r="O36" s="389">
        <f t="shared" si="0"/>
        <v>0</v>
      </c>
      <c r="Q36" s="436"/>
    </row>
    <row r="37" spans="1:113" ht="17.45" customHeight="1" thickBot="1" x14ac:dyDescent="0.3">
      <c r="C37" s="491"/>
      <c r="D37" s="868" t="s">
        <v>1</v>
      </c>
      <c r="E37" s="988" t="s">
        <v>713</v>
      </c>
      <c r="F37" s="988"/>
      <c r="G37" s="988"/>
      <c r="H37" s="988"/>
      <c r="I37" s="988"/>
      <c r="J37" s="988"/>
      <c r="K37" s="687"/>
      <c r="L37" s="651"/>
      <c r="M37" s="652"/>
      <c r="N37" s="653"/>
      <c r="O37" s="654"/>
      <c r="Q37" s="436"/>
    </row>
    <row r="38" spans="1:113" s="4" customFormat="1" ht="25.15" customHeight="1" thickBot="1" x14ac:dyDescent="0.3">
      <c r="A38"/>
      <c r="B38"/>
      <c r="C38" s="690"/>
      <c r="D38" s="972" t="s">
        <v>215</v>
      </c>
      <c r="E38" s="972"/>
      <c r="F38" s="972"/>
      <c r="G38" s="972"/>
      <c r="H38" s="972"/>
      <c r="I38" s="972"/>
      <c r="J38" s="972"/>
      <c r="K38" s="972"/>
      <c r="L38" s="860"/>
      <c r="M38" s="860"/>
      <c r="N38" s="860"/>
      <c r="O38" s="867"/>
      <c r="P38" s="6"/>
      <c r="Q38" s="937"/>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row>
    <row r="39" spans="1:113" s="344" customFormat="1" ht="16.5" thickBot="1" x14ac:dyDescent="0.3">
      <c r="C39" s="393"/>
      <c r="D39" s="394"/>
      <c r="E39" s="395"/>
      <c r="F39" s="395"/>
      <c r="G39" s="395"/>
      <c r="H39" s="395"/>
      <c r="I39" s="395"/>
      <c r="J39" s="395"/>
      <c r="K39" s="395"/>
      <c r="L39" s="396"/>
      <c r="M39" s="397"/>
      <c r="N39" s="398"/>
      <c r="O39" s="399"/>
      <c r="P39" s="946"/>
      <c r="Q39" s="945"/>
    </row>
    <row r="40" spans="1:113" s="344" customFormat="1" ht="15.6" customHeight="1" x14ac:dyDescent="0.25">
      <c r="C40" s="377" t="s">
        <v>714</v>
      </c>
      <c r="D40" s="935" t="s">
        <v>73</v>
      </c>
      <c r="E40" s="1009" t="s">
        <v>74</v>
      </c>
      <c r="F40" s="1010"/>
      <c r="G40" s="1010"/>
      <c r="H40" s="1010"/>
      <c r="I40" s="1010"/>
      <c r="J40" s="1010"/>
      <c r="K40" s="1010"/>
      <c r="L40" s="741" t="s">
        <v>5</v>
      </c>
      <c r="M40" s="390">
        <v>1182.7600000000004</v>
      </c>
      <c r="N40" s="918"/>
      <c r="O40" s="796">
        <f>N40*M40</f>
        <v>0</v>
      </c>
      <c r="P40" s="387"/>
    </row>
    <row r="41" spans="1:113" s="344" customFormat="1" ht="15.6" customHeight="1" x14ac:dyDescent="0.25">
      <c r="C41" s="377" t="s">
        <v>714</v>
      </c>
      <c r="D41" s="346" t="s">
        <v>185</v>
      </c>
      <c r="E41" s="1011" t="s">
        <v>186</v>
      </c>
      <c r="F41" s="1012"/>
      <c r="G41" s="1012"/>
      <c r="H41" s="1012"/>
      <c r="I41" s="1012"/>
      <c r="J41" s="1012"/>
      <c r="K41" s="1012"/>
      <c r="L41" s="742" t="s">
        <v>7</v>
      </c>
      <c r="M41" s="350">
        <v>2</v>
      </c>
      <c r="N41" s="353"/>
      <c r="O41" s="797">
        <f t="shared" ref="O41:O63" si="3">N41*M41</f>
        <v>0</v>
      </c>
      <c r="P41" s="387"/>
    </row>
    <row r="42" spans="1:113" s="344" customFormat="1" ht="15.6" customHeight="1" x14ac:dyDescent="0.25">
      <c r="C42" s="377" t="s">
        <v>714</v>
      </c>
      <c r="D42" s="382" t="s">
        <v>68</v>
      </c>
      <c r="E42" s="1011" t="s">
        <v>69</v>
      </c>
      <c r="F42" s="1012"/>
      <c r="G42" s="1012"/>
      <c r="H42" s="1012"/>
      <c r="I42" s="1012"/>
      <c r="J42" s="1012"/>
      <c r="K42" s="1012"/>
      <c r="L42" s="742" t="s">
        <v>7</v>
      </c>
      <c r="M42" s="350">
        <v>62</v>
      </c>
      <c r="N42" s="353"/>
      <c r="O42" s="797">
        <f t="shared" si="3"/>
        <v>0</v>
      </c>
      <c r="P42" s="387"/>
    </row>
    <row r="43" spans="1:113" s="344" customFormat="1" ht="15.6" customHeight="1" x14ac:dyDescent="0.25">
      <c r="C43" s="377" t="s">
        <v>714</v>
      </c>
      <c r="D43" s="382" t="s">
        <v>70</v>
      </c>
      <c r="E43" s="1011" t="s">
        <v>71</v>
      </c>
      <c r="F43" s="1012"/>
      <c r="G43" s="1012"/>
      <c r="H43" s="1012"/>
      <c r="I43" s="1012"/>
      <c r="J43" s="1012"/>
      <c r="K43" s="1012"/>
      <c r="L43" s="742" t="s">
        <v>8</v>
      </c>
      <c r="M43" s="350">
        <v>1293</v>
      </c>
      <c r="N43" s="353"/>
      <c r="O43" s="797">
        <f t="shared" si="3"/>
        <v>0</v>
      </c>
      <c r="P43" s="387"/>
    </row>
    <row r="44" spans="1:113" s="344" customFormat="1" ht="15.6" customHeight="1" x14ac:dyDescent="0.25">
      <c r="C44" s="381" t="s">
        <v>715</v>
      </c>
      <c r="D44" s="383" t="s">
        <v>229</v>
      </c>
      <c r="E44" s="1011" t="s">
        <v>230</v>
      </c>
      <c r="F44" s="1012"/>
      <c r="G44" s="1012"/>
      <c r="H44" s="1012"/>
      <c r="I44" s="1012"/>
      <c r="J44" s="1012"/>
      <c r="K44" s="1012"/>
      <c r="L44" s="742" t="s">
        <v>7</v>
      </c>
      <c r="M44" s="350">
        <v>66</v>
      </c>
      <c r="N44" s="353"/>
      <c r="O44" s="797">
        <f t="shared" si="3"/>
        <v>0</v>
      </c>
      <c r="P44" s="387"/>
    </row>
    <row r="45" spans="1:113" s="344" customFormat="1" ht="15.75" x14ac:dyDescent="0.25">
      <c r="C45" s="510" t="s">
        <v>714</v>
      </c>
      <c r="D45" s="346" t="s">
        <v>189</v>
      </c>
      <c r="E45" s="1036" t="s">
        <v>190</v>
      </c>
      <c r="F45" s="1037"/>
      <c r="G45" s="1037"/>
      <c r="H45" s="1037"/>
      <c r="I45" s="1037"/>
      <c r="J45" s="1037"/>
      <c r="K45" s="1037"/>
      <c r="L45" s="742" t="s">
        <v>8</v>
      </c>
      <c r="M45" s="350">
        <v>102.75999999999999</v>
      </c>
      <c r="N45" s="353"/>
      <c r="O45" s="797">
        <f t="shared" si="3"/>
        <v>0</v>
      </c>
      <c r="P45" s="387"/>
    </row>
    <row r="46" spans="1:113" s="344" customFormat="1" ht="15.6" customHeight="1" x14ac:dyDescent="0.25">
      <c r="C46" s="510" t="s">
        <v>714</v>
      </c>
      <c r="D46" s="346" t="s">
        <v>191</v>
      </c>
      <c r="E46" s="1011" t="s">
        <v>192</v>
      </c>
      <c r="F46" s="1012"/>
      <c r="G46" s="1012"/>
      <c r="H46" s="1012"/>
      <c r="I46" s="1012"/>
      <c r="J46" s="1012"/>
      <c r="K46" s="1012"/>
      <c r="L46" s="742" t="s">
        <v>8</v>
      </c>
      <c r="M46" s="350">
        <v>46.839999999999996</v>
      </c>
      <c r="N46" s="353"/>
      <c r="O46" s="797">
        <f t="shared" si="3"/>
        <v>0</v>
      </c>
      <c r="P46" s="387"/>
    </row>
    <row r="47" spans="1:113" s="344" customFormat="1" ht="15.6" customHeight="1" x14ac:dyDescent="0.25">
      <c r="C47" s="510" t="s">
        <v>714</v>
      </c>
      <c r="D47" s="382" t="s">
        <v>246</v>
      </c>
      <c r="E47" s="1011" t="s">
        <v>247</v>
      </c>
      <c r="F47" s="1012"/>
      <c r="G47" s="1012"/>
      <c r="H47" s="1012"/>
      <c r="I47" s="1012"/>
      <c r="J47" s="1012"/>
      <c r="K47" s="1012"/>
      <c r="L47" s="742" t="s">
        <v>8</v>
      </c>
      <c r="M47" s="350">
        <v>205.96</v>
      </c>
      <c r="N47" s="353"/>
      <c r="O47" s="797">
        <f t="shared" si="3"/>
        <v>0</v>
      </c>
      <c r="P47" s="387"/>
    </row>
    <row r="48" spans="1:113" s="344" customFormat="1" ht="15.6" customHeight="1" x14ac:dyDescent="0.25">
      <c r="C48" s="510" t="s">
        <v>714</v>
      </c>
      <c r="D48" s="383" t="s">
        <v>428</v>
      </c>
      <c r="E48" s="1011" t="s">
        <v>429</v>
      </c>
      <c r="F48" s="1012"/>
      <c r="G48" s="1012"/>
      <c r="H48" s="1012"/>
      <c r="I48" s="1012"/>
      <c r="J48" s="1012"/>
      <c r="K48" s="1012"/>
      <c r="L48" s="742" t="s">
        <v>8</v>
      </c>
      <c r="M48" s="350">
        <v>3000</v>
      </c>
      <c r="N48" s="353"/>
      <c r="O48" s="797">
        <f t="shared" si="3"/>
        <v>0</v>
      </c>
      <c r="P48" s="387"/>
    </row>
    <row r="49" spans="3:16" s="344" customFormat="1" ht="15.6" customHeight="1" x14ac:dyDescent="0.25">
      <c r="C49" s="510" t="s">
        <v>714</v>
      </c>
      <c r="D49" s="349" t="s">
        <v>292</v>
      </c>
      <c r="E49" s="1011" t="s">
        <v>291</v>
      </c>
      <c r="F49" s="1012"/>
      <c r="G49" s="1012"/>
      <c r="H49" s="1012"/>
      <c r="I49" s="1012"/>
      <c r="J49" s="1012"/>
      <c r="K49" s="1012"/>
      <c r="L49" s="742" t="s">
        <v>7</v>
      </c>
      <c r="M49" s="350">
        <v>20</v>
      </c>
      <c r="N49" s="353"/>
      <c r="O49" s="797">
        <f t="shared" si="3"/>
        <v>0</v>
      </c>
      <c r="P49" s="387"/>
    </row>
    <row r="50" spans="3:16" s="344" customFormat="1" ht="15.6" customHeight="1" x14ac:dyDescent="0.25">
      <c r="C50" s="510" t="s">
        <v>714</v>
      </c>
      <c r="D50" s="349" t="s">
        <v>295</v>
      </c>
      <c r="E50" s="1011" t="s">
        <v>296</v>
      </c>
      <c r="F50" s="1012"/>
      <c r="G50" s="1012"/>
      <c r="H50" s="1012"/>
      <c r="I50" s="1012"/>
      <c r="J50" s="1012"/>
      <c r="K50" s="1012"/>
      <c r="L50" s="742" t="s">
        <v>7</v>
      </c>
      <c r="M50" s="350">
        <v>12</v>
      </c>
      <c r="N50" s="353"/>
      <c r="O50" s="797">
        <f t="shared" si="3"/>
        <v>0</v>
      </c>
      <c r="P50" s="387"/>
    </row>
    <row r="51" spans="3:16" s="344" customFormat="1" ht="15.6" customHeight="1" x14ac:dyDescent="0.25">
      <c r="C51" s="510" t="s">
        <v>714</v>
      </c>
      <c r="D51" s="349" t="s">
        <v>298</v>
      </c>
      <c r="E51" s="1011" t="s">
        <v>299</v>
      </c>
      <c r="F51" s="1012"/>
      <c r="G51" s="1012"/>
      <c r="H51" s="1012"/>
      <c r="I51" s="1012"/>
      <c r="J51" s="1012"/>
      <c r="K51" s="1012"/>
      <c r="L51" s="742" t="s">
        <v>8</v>
      </c>
      <c r="M51" s="350">
        <v>81.66</v>
      </c>
      <c r="N51" s="353"/>
      <c r="O51" s="797">
        <f t="shared" si="3"/>
        <v>0</v>
      </c>
      <c r="P51" s="387"/>
    </row>
    <row r="52" spans="3:16" s="344" customFormat="1" ht="15.6" customHeight="1" x14ac:dyDescent="0.25">
      <c r="C52" s="510" t="s">
        <v>714</v>
      </c>
      <c r="D52" s="349" t="s">
        <v>319</v>
      </c>
      <c r="E52" s="1011" t="s">
        <v>320</v>
      </c>
      <c r="F52" s="1012"/>
      <c r="G52" s="1012"/>
      <c r="H52" s="1012"/>
      <c r="I52" s="1012"/>
      <c r="J52" s="1012"/>
      <c r="K52" s="1012"/>
      <c r="L52" s="742" t="s">
        <v>8</v>
      </c>
      <c r="M52" s="350">
        <v>46</v>
      </c>
      <c r="N52" s="353"/>
      <c r="O52" s="797">
        <f t="shared" si="3"/>
        <v>0</v>
      </c>
      <c r="P52" s="387"/>
    </row>
    <row r="53" spans="3:16" s="344" customFormat="1" ht="15.6" customHeight="1" x14ac:dyDescent="0.25">
      <c r="C53" s="510" t="s">
        <v>714</v>
      </c>
      <c r="D53" s="349" t="s">
        <v>157</v>
      </c>
      <c r="E53" s="1011" t="s">
        <v>158</v>
      </c>
      <c r="F53" s="1012"/>
      <c r="G53" s="1012"/>
      <c r="H53" s="1012"/>
      <c r="I53" s="1012"/>
      <c r="J53" s="1012"/>
      <c r="K53" s="1012"/>
      <c r="L53" s="742" t="s">
        <v>8</v>
      </c>
      <c r="M53" s="350">
        <v>244</v>
      </c>
      <c r="N53" s="353"/>
      <c r="O53" s="797">
        <f t="shared" si="3"/>
        <v>0</v>
      </c>
      <c r="P53" s="387"/>
    </row>
    <row r="54" spans="3:16" s="344" customFormat="1" ht="15.6" customHeight="1" x14ac:dyDescent="0.25">
      <c r="C54" s="510" t="s">
        <v>714</v>
      </c>
      <c r="D54" s="349" t="s">
        <v>321</v>
      </c>
      <c r="E54" s="1011" t="s">
        <v>322</v>
      </c>
      <c r="F54" s="1012"/>
      <c r="G54" s="1012"/>
      <c r="H54" s="1012"/>
      <c r="I54" s="1012"/>
      <c r="J54" s="1012"/>
      <c r="K54" s="1012"/>
      <c r="L54" s="742" t="s">
        <v>8</v>
      </c>
      <c r="M54" s="350">
        <v>40</v>
      </c>
      <c r="N54" s="353"/>
      <c r="O54" s="797">
        <f t="shared" si="3"/>
        <v>0</v>
      </c>
      <c r="P54" s="387"/>
    </row>
    <row r="55" spans="3:16" s="344" customFormat="1" ht="15.6" customHeight="1" x14ac:dyDescent="0.25">
      <c r="C55" s="510" t="s">
        <v>714</v>
      </c>
      <c r="D55" s="349" t="s">
        <v>323</v>
      </c>
      <c r="E55" s="1011" t="s">
        <v>324</v>
      </c>
      <c r="F55" s="1012"/>
      <c r="G55" s="1012"/>
      <c r="H55" s="1012"/>
      <c r="I55" s="1012"/>
      <c r="J55" s="1012"/>
      <c r="K55" s="1012"/>
      <c r="L55" s="742" t="s">
        <v>8</v>
      </c>
      <c r="M55" s="350">
        <v>306</v>
      </c>
      <c r="N55" s="353"/>
      <c r="O55" s="797">
        <f t="shared" si="3"/>
        <v>0</v>
      </c>
      <c r="P55" s="387"/>
    </row>
    <row r="56" spans="3:16" s="344" customFormat="1" ht="15.6" customHeight="1" x14ac:dyDescent="0.25">
      <c r="C56" s="510" t="s">
        <v>714</v>
      </c>
      <c r="D56" s="349" t="s">
        <v>82</v>
      </c>
      <c r="E56" s="1011" t="s">
        <v>83</v>
      </c>
      <c r="F56" s="1012"/>
      <c r="G56" s="1012"/>
      <c r="H56" s="1012"/>
      <c r="I56" s="1012"/>
      <c r="J56" s="1012"/>
      <c r="K56" s="1012"/>
      <c r="L56" s="742" t="s">
        <v>8</v>
      </c>
      <c r="M56" s="350">
        <v>160</v>
      </c>
      <c r="N56" s="353"/>
      <c r="O56" s="797">
        <f t="shared" si="3"/>
        <v>0</v>
      </c>
      <c r="P56" s="387"/>
    </row>
    <row r="57" spans="3:16" s="344" customFormat="1" ht="15.6" customHeight="1" x14ac:dyDescent="0.25">
      <c r="C57" s="510" t="s">
        <v>714</v>
      </c>
      <c r="D57" s="349" t="s">
        <v>325</v>
      </c>
      <c r="E57" s="1011" t="s">
        <v>326</v>
      </c>
      <c r="F57" s="1012"/>
      <c r="G57" s="1012"/>
      <c r="H57" s="1012"/>
      <c r="I57" s="1012"/>
      <c r="J57" s="1012"/>
      <c r="K57" s="1012"/>
      <c r="L57" s="742" t="s">
        <v>8</v>
      </c>
      <c r="M57" s="350">
        <v>264</v>
      </c>
      <c r="N57" s="353"/>
      <c r="O57" s="797">
        <f t="shared" si="3"/>
        <v>0</v>
      </c>
      <c r="P57" s="387"/>
    </row>
    <row r="58" spans="3:16" s="344" customFormat="1" ht="15.6" customHeight="1" x14ac:dyDescent="0.25">
      <c r="C58" s="510" t="s">
        <v>714</v>
      </c>
      <c r="D58" s="349" t="s">
        <v>327</v>
      </c>
      <c r="E58" s="1011" t="s">
        <v>328</v>
      </c>
      <c r="F58" s="1012"/>
      <c r="G58" s="1012"/>
      <c r="H58" s="1012"/>
      <c r="I58" s="1012"/>
      <c r="J58" s="1012"/>
      <c r="K58" s="1012"/>
      <c r="L58" s="742" t="s">
        <v>7</v>
      </c>
      <c r="M58" s="350">
        <v>8</v>
      </c>
      <c r="N58" s="353"/>
      <c r="O58" s="797">
        <f t="shared" si="3"/>
        <v>0</v>
      </c>
      <c r="P58" s="387"/>
    </row>
    <row r="59" spans="3:16" s="344" customFormat="1" ht="15.6" customHeight="1" x14ac:dyDescent="0.25">
      <c r="C59" s="510" t="s">
        <v>714</v>
      </c>
      <c r="D59" s="349" t="s">
        <v>329</v>
      </c>
      <c r="E59" s="1011" t="s">
        <v>330</v>
      </c>
      <c r="F59" s="1012"/>
      <c r="G59" s="1012"/>
      <c r="H59" s="1012"/>
      <c r="I59" s="1012"/>
      <c r="J59" s="1012"/>
      <c r="K59" s="1012"/>
      <c r="L59" s="742" t="s">
        <v>7</v>
      </c>
      <c r="M59" s="350">
        <v>6</v>
      </c>
      <c r="N59" s="353"/>
      <c r="O59" s="797">
        <f t="shared" si="3"/>
        <v>0</v>
      </c>
      <c r="P59" s="387"/>
    </row>
    <row r="60" spans="3:16" s="344" customFormat="1" ht="15.6" customHeight="1" x14ac:dyDescent="0.25">
      <c r="C60" s="510" t="s">
        <v>714</v>
      </c>
      <c r="D60" s="349" t="s">
        <v>438</v>
      </c>
      <c r="E60" s="1011" t="s">
        <v>439</v>
      </c>
      <c r="F60" s="1012"/>
      <c r="G60" s="1012"/>
      <c r="H60" s="1012"/>
      <c r="I60" s="1012"/>
      <c r="J60" s="1012"/>
      <c r="K60" s="1012"/>
      <c r="L60" s="742" t="s">
        <v>7</v>
      </c>
      <c r="M60" s="350">
        <v>40</v>
      </c>
      <c r="N60" s="353"/>
      <c r="O60" s="797">
        <f t="shared" si="3"/>
        <v>0</v>
      </c>
      <c r="P60" s="387"/>
    </row>
    <row r="61" spans="3:16" s="344" customFormat="1" ht="15.6" customHeight="1" x14ac:dyDescent="0.25">
      <c r="C61" s="510" t="s">
        <v>714</v>
      </c>
      <c r="D61" s="383" t="s">
        <v>440</v>
      </c>
      <c r="E61" s="1011" t="s">
        <v>441</v>
      </c>
      <c r="F61" s="1012"/>
      <c r="G61" s="1012"/>
      <c r="H61" s="1012"/>
      <c r="I61" s="1012"/>
      <c r="J61" s="1012"/>
      <c r="K61" s="1012"/>
      <c r="L61" s="742" t="s">
        <v>7</v>
      </c>
      <c r="M61" s="350">
        <v>44</v>
      </c>
      <c r="N61" s="353"/>
      <c r="O61" s="797">
        <f t="shared" si="3"/>
        <v>0</v>
      </c>
      <c r="P61" s="387"/>
    </row>
    <row r="62" spans="3:16" s="344" customFormat="1" ht="15.6" customHeight="1" x14ac:dyDescent="0.25">
      <c r="C62" s="510" t="s">
        <v>714</v>
      </c>
      <c r="D62" s="383" t="s">
        <v>442</v>
      </c>
      <c r="E62" s="1011" t="s">
        <v>443</v>
      </c>
      <c r="F62" s="1012"/>
      <c r="G62" s="1012"/>
      <c r="H62" s="1012"/>
      <c r="I62" s="1012"/>
      <c r="J62" s="1012"/>
      <c r="K62" s="1012"/>
      <c r="L62" s="742" t="s">
        <v>7</v>
      </c>
      <c r="M62" s="350">
        <v>20</v>
      </c>
      <c r="N62" s="353"/>
      <c r="O62" s="797">
        <f t="shared" si="3"/>
        <v>0</v>
      </c>
      <c r="P62" s="387"/>
    </row>
    <row r="63" spans="3:16" s="344" customFormat="1" ht="15.6" customHeight="1" x14ac:dyDescent="0.25">
      <c r="C63" s="510" t="s">
        <v>714</v>
      </c>
      <c r="D63" s="917" t="s">
        <v>444</v>
      </c>
      <c r="E63" s="1045" t="s">
        <v>445</v>
      </c>
      <c r="F63" s="1046"/>
      <c r="G63" s="1046"/>
      <c r="H63" s="1046"/>
      <c r="I63" s="1046"/>
      <c r="J63" s="1046"/>
      <c r="K63" s="1046"/>
      <c r="L63" s="745" t="s">
        <v>7</v>
      </c>
      <c r="M63" s="400">
        <v>60</v>
      </c>
      <c r="N63" s="425"/>
      <c r="O63" s="797">
        <f t="shared" si="3"/>
        <v>0</v>
      </c>
      <c r="P63" s="387"/>
    </row>
    <row r="64" spans="3:16" s="344" customFormat="1" ht="15.6" customHeight="1" x14ac:dyDescent="0.25">
      <c r="C64" s="757" t="s">
        <v>739</v>
      </c>
      <c r="D64" s="758" t="s">
        <v>133</v>
      </c>
      <c r="E64" s="1047" t="s">
        <v>737</v>
      </c>
      <c r="F64" s="1047"/>
      <c r="G64" s="1047"/>
      <c r="H64" s="1047"/>
      <c r="I64" s="1047"/>
      <c r="J64" s="1047"/>
      <c r="K64" s="1048"/>
      <c r="L64" s="759" t="s">
        <v>7</v>
      </c>
      <c r="M64" s="760">
        <v>2</v>
      </c>
      <c r="N64" s="761"/>
      <c r="O64" s="798">
        <f>M64*N64</f>
        <v>0</v>
      </c>
      <c r="P64" s="387"/>
    </row>
    <row r="65" spans="3:16" s="344" customFormat="1" ht="15.6" customHeight="1" x14ac:dyDescent="0.25">
      <c r="C65" s="799" t="s">
        <v>50</v>
      </c>
      <c r="D65" s="877" t="s">
        <v>447</v>
      </c>
      <c r="E65" s="1060" t="s">
        <v>738</v>
      </c>
      <c r="F65" s="1061"/>
      <c r="G65" s="1061"/>
      <c r="H65" s="1061"/>
      <c r="I65" s="1061"/>
      <c r="J65" s="1062"/>
      <c r="K65" s="748" t="s">
        <v>7</v>
      </c>
      <c r="L65" s="749">
        <v>50800</v>
      </c>
      <c r="M65" s="413">
        <v>1</v>
      </c>
      <c r="N65" s="591"/>
      <c r="O65" s="800"/>
      <c r="P65" s="387"/>
    </row>
    <row r="66" spans="3:16" s="344" customFormat="1" ht="15.6" customHeight="1" x14ac:dyDescent="0.25">
      <c r="C66" s="801" t="s">
        <v>446</v>
      </c>
      <c r="D66" s="877" t="s">
        <v>447</v>
      </c>
      <c r="E66" s="1038" t="s">
        <v>448</v>
      </c>
      <c r="F66" s="1039"/>
      <c r="G66" s="1039"/>
      <c r="H66" s="1039"/>
      <c r="I66" s="1039"/>
      <c r="J66" s="1040"/>
      <c r="K66" s="590" t="s">
        <v>7</v>
      </c>
      <c r="L66" s="515">
        <v>1.04</v>
      </c>
      <c r="M66" s="437">
        <v>10</v>
      </c>
      <c r="N66" s="516"/>
      <c r="O66" s="802"/>
      <c r="P66" s="387"/>
    </row>
    <row r="67" spans="3:16" s="344" customFormat="1" ht="15.6" customHeight="1" x14ac:dyDescent="0.25">
      <c r="C67" s="801" t="s">
        <v>446</v>
      </c>
      <c r="D67" s="877" t="s">
        <v>447</v>
      </c>
      <c r="E67" s="1038" t="s">
        <v>449</v>
      </c>
      <c r="F67" s="1039"/>
      <c r="G67" s="1039"/>
      <c r="H67" s="1039"/>
      <c r="I67" s="1039"/>
      <c r="J67" s="1040"/>
      <c r="K67" s="379" t="s">
        <v>450</v>
      </c>
      <c r="L67" s="515">
        <v>487.16</v>
      </c>
      <c r="M67" s="437">
        <v>3</v>
      </c>
      <c r="N67" s="516"/>
      <c r="O67" s="802"/>
      <c r="P67" s="387"/>
    </row>
    <row r="68" spans="3:16" s="344" customFormat="1" ht="15.6" customHeight="1" x14ac:dyDescent="0.25">
      <c r="C68" s="801" t="s">
        <v>446</v>
      </c>
      <c r="D68" s="877" t="s">
        <v>447</v>
      </c>
      <c r="E68" s="1038" t="s">
        <v>451</v>
      </c>
      <c r="F68" s="1039"/>
      <c r="G68" s="1039"/>
      <c r="H68" s="1039"/>
      <c r="I68" s="1039"/>
      <c r="J68" s="1040"/>
      <c r="K68" s="379" t="s">
        <v>452</v>
      </c>
      <c r="L68" s="515">
        <v>135.71</v>
      </c>
      <c r="M68" s="437">
        <v>3</v>
      </c>
      <c r="N68" s="516"/>
      <c r="O68" s="802"/>
      <c r="P68" s="387"/>
    </row>
    <row r="69" spans="3:16" s="344" customFormat="1" ht="15.6" customHeight="1" x14ac:dyDescent="0.25">
      <c r="C69" s="801" t="s">
        <v>446</v>
      </c>
      <c r="D69" s="877" t="s">
        <v>447</v>
      </c>
      <c r="E69" s="1038" t="s">
        <v>453</v>
      </c>
      <c r="F69" s="1039"/>
      <c r="G69" s="1039"/>
      <c r="H69" s="1039"/>
      <c r="I69" s="1039"/>
      <c r="J69" s="1040"/>
      <c r="K69" s="379" t="s">
        <v>42</v>
      </c>
      <c r="L69" s="515">
        <v>130.35</v>
      </c>
      <c r="M69" s="437">
        <v>3</v>
      </c>
      <c r="N69" s="516"/>
      <c r="O69" s="802"/>
      <c r="P69" s="387"/>
    </row>
    <row r="70" spans="3:16" s="344" customFormat="1" ht="15.6" customHeight="1" x14ac:dyDescent="0.25">
      <c r="C70" s="801" t="s">
        <v>446</v>
      </c>
      <c r="D70" s="877" t="s">
        <v>447</v>
      </c>
      <c r="E70" s="1038" t="s">
        <v>454</v>
      </c>
      <c r="F70" s="1039"/>
      <c r="G70" s="1039"/>
      <c r="H70" s="1039"/>
      <c r="I70" s="1039"/>
      <c r="J70" s="1040"/>
      <c r="K70" s="379" t="s">
        <v>42</v>
      </c>
      <c r="L70" s="515">
        <v>146.91</v>
      </c>
      <c r="M70" s="437">
        <v>3</v>
      </c>
      <c r="N70" s="516"/>
      <c r="O70" s="803"/>
      <c r="P70" s="387"/>
    </row>
    <row r="71" spans="3:16" s="344" customFormat="1" ht="15.6" customHeight="1" x14ac:dyDescent="0.25">
      <c r="C71" s="801" t="s">
        <v>455</v>
      </c>
      <c r="D71" s="877" t="s">
        <v>447</v>
      </c>
      <c r="E71" s="1038" t="s">
        <v>456</v>
      </c>
      <c r="F71" s="1039"/>
      <c r="G71" s="1039"/>
      <c r="H71" s="1039"/>
      <c r="I71" s="1039"/>
      <c r="J71" s="1040"/>
      <c r="K71" s="379" t="s">
        <v>7</v>
      </c>
      <c r="L71" s="517">
        <v>607.70000000000005</v>
      </c>
      <c r="M71" s="437">
        <v>1</v>
      </c>
      <c r="N71" s="516"/>
      <c r="O71" s="804"/>
      <c r="P71" s="387"/>
    </row>
    <row r="72" spans="3:16" s="344" customFormat="1" ht="15.6" customHeight="1" x14ac:dyDescent="0.25">
      <c r="C72" s="801" t="s">
        <v>457</v>
      </c>
      <c r="D72" s="877" t="s">
        <v>447</v>
      </c>
      <c r="E72" s="1041" t="s">
        <v>458</v>
      </c>
      <c r="F72" s="1042"/>
      <c r="G72" s="1042"/>
      <c r="H72" s="1042"/>
      <c r="I72" s="1042"/>
      <c r="J72" s="1043"/>
      <c r="K72" s="379" t="s">
        <v>7</v>
      </c>
      <c r="L72" s="518">
        <v>29.091100000000001</v>
      </c>
      <c r="M72" s="437">
        <v>4</v>
      </c>
      <c r="N72" s="516"/>
      <c r="O72" s="802"/>
      <c r="P72" s="387"/>
    </row>
    <row r="73" spans="3:16" s="344" customFormat="1" ht="15.6" customHeight="1" x14ac:dyDescent="0.25">
      <c r="C73" s="801" t="s">
        <v>459</v>
      </c>
      <c r="D73" s="877" t="s">
        <v>447</v>
      </c>
      <c r="E73" s="1041" t="s">
        <v>460</v>
      </c>
      <c r="F73" s="1042"/>
      <c r="G73" s="1042"/>
      <c r="H73" s="1042"/>
      <c r="I73" s="1042"/>
      <c r="J73" s="1043"/>
      <c r="K73" s="379" t="s">
        <v>7</v>
      </c>
      <c r="L73" s="518">
        <v>17.5</v>
      </c>
      <c r="M73" s="437">
        <v>4</v>
      </c>
      <c r="N73" s="516"/>
      <c r="O73" s="803"/>
      <c r="P73" s="387"/>
    </row>
    <row r="74" spans="3:16" s="344" customFormat="1" ht="15.6" customHeight="1" x14ac:dyDescent="0.25">
      <c r="C74" s="801" t="s">
        <v>461</v>
      </c>
      <c r="D74" s="878" t="s">
        <v>447</v>
      </c>
      <c r="E74" s="1044" t="s">
        <v>462</v>
      </c>
      <c r="F74" s="1044"/>
      <c r="G74" s="1044"/>
      <c r="H74" s="1044"/>
      <c r="I74" s="1044"/>
      <c r="J74" s="1044"/>
      <c r="K74" s="380" t="s">
        <v>48</v>
      </c>
      <c r="L74" s="521">
        <v>12.68</v>
      </c>
      <c r="M74" s="522">
        <f>(9.68*6)</f>
        <v>58.08</v>
      </c>
      <c r="N74" s="523"/>
      <c r="O74" s="804"/>
      <c r="P74" s="387"/>
    </row>
    <row r="75" spans="3:16" s="344" customFormat="1" x14ac:dyDescent="0.25">
      <c r="C75" s="805"/>
      <c r="D75" s="598"/>
      <c r="E75" s="699"/>
      <c r="F75" s="699"/>
      <c r="G75" s="699"/>
      <c r="H75" s="699"/>
      <c r="I75" s="700"/>
      <c r="J75" s="598"/>
      <c r="K75" s="699"/>
      <c r="L75" s="699"/>
      <c r="M75" s="699"/>
      <c r="N75" s="700"/>
      <c r="O75" s="806"/>
      <c r="P75" s="387"/>
    </row>
    <row r="76" spans="3:16" s="344" customFormat="1" ht="15.75" x14ac:dyDescent="0.25">
      <c r="C76" s="807" t="s">
        <v>739</v>
      </c>
      <c r="D76" s="762" t="s">
        <v>134</v>
      </c>
      <c r="E76" s="985" t="s">
        <v>782</v>
      </c>
      <c r="F76" s="986"/>
      <c r="G76" s="986"/>
      <c r="H76" s="986"/>
      <c r="I76" s="986"/>
      <c r="J76" s="986"/>
      <c r="K76" s="986"/>
      <c r="L76" s="759" t="s">
        <v>7</v>
      </c>
      <c r="M76" s="763">
        <v>2</v>
      </c>
      <c r="N76" s="764"/>
      <c r="O76" s="808">
        <f>M76*N76</f>
        <v>0</v>
      </c>
      <c r="P76" s="387"/>
    </row>
    <row r="77" spans="3:16" s="344" customFormat="1" ht="15.6" customHeight="1" x14ac:dyDescent="0.25">
      <c r="C77" s="801" t="s">
        <v>50</v>
      </c>
      <c r="D77" s="782" t="s">
        <v>783</v>
      </c>
      <c r="E77" s="1063" t="s">
        <v>463</v>
      </c>
      <c r="F77" s="1064"/>
      <c r="G77" s="1064"/>
      <c r="H77" s="1064"/>
      <c r="I77" s="1064"/>
      <c r="J77" s="1065"/>
      <c r="K77" s="783" t="s">
        <v>7</v>
      </c>
      <c r="L77" s="697">
        <v>50800</v>
      </c>
      <c r="M77" s="524">
        <v>1</v>
      </c>
      <c r="N77" s="591"/>
      <c r="O77" s="804"/>
      <c r="P77" s="387"/>
    </row>
    <row r="78" spans="3:16" s="344" customFormat="1" ht="15.75" x14ac:dyDescent="0.25">
      <c r="C78" s="801" t="s">
        <v>446</v>
      </c>
      <c r="D78" s="879" t="s">
        <v>464</v>
      </c>
      <c r="E78" s="950" t="s">
        <v>448</v>
      </c>
      <c r="F78" s="950"/>
      <c r="G78" s="950"/>
      <c r="H78" s="950"/>
      <c r="I78" s="950"/>
      <c r="J78" s="950"/>
      <c r="K78" s="881" t="s">
        <v>7</v>
      </c>
      <c r="L78" s="515">
        <v>1.04</v>
      </c>
      <c r="M78" s="437">
        <v>10</v>
      </c>
      <c r="N78" s="516"/>
      <c r="O78" s="802"/>
      <c r="P78" s="387"/>
    </row>
    <row r="79" spans="3:16" s="344" customFormat="1" ht="15.75" x14ac:dyDescent="0.25">
      <c r="C79" s="801" t="s">
        <v>446</v>
      </c>
      <c r="D79" s="880" t="s">
        <v>464</v>
      </c>
      <c r="E79" s="950" t="s">
        <v>449</v>
      </c>
      <c r="F79" s="950"/>
      <c r="G79" s="950"/>
      <c r="H79" s="950"/>
      <c r="I79" s="950"/>
      <c r="J79" s="950"/>
      <c r="K79" s="882" t="s">
        <v>450</v>
      </c>
      <c r="L79" s="515">
        <v>487.16</v>
      </c>
      <c r="M79" s="437">
        <v>3</v>
      </c>
      <c r="N79" s="516"/>
      <c r="O79" s="802"/>
      <c r="P79" s="387"/>
    </row>
    <row r="80" spans="3:16" s="344" customFormat="1" ht="15.75" x14ac:dyDescent="0.25">
      <c r="C80" s="801" t="s">
        <v>446</v>
      </c>
      <c r="D80" s="880" t="s">
        <v>464</v>
      </c>
      <c r="E80" s="950" t="s">
        <v>451</v>
      </c>
      <c r="F80" s="950"/>
      <c r="G80" s="950"/>
      <c r="H80" s="950"/>
      <c r="I80" s="950"/>
      <c r="J80" s="950"/>
      <c r="K80" s="882" t="s">
        <v>452</v>
      </c>
      <c r="L80" s="515">
        <v>135.71</v>
      </c>
      <c r="M80" s="437">
        <v>3</v>
      </c>
      <c r="N80" s="516"/>
      <c r="O80" s="802"/>
      <c r="P80" s="387"/>
    </row>
    <row r="81" spans="3:16" s="344" customFormat="1" ht="15.75" x14ac:dyDescent="0.25">
      <c r="C81" s="801" t="s">
        <v>446</v>
      </c>
      <c r="D81" s="880" t="s">
        <v>464</v>
      </c>
      <c r="E81" s="950" t="s">
        <v>453</v>
      </c>
      <c r="F81" s="950"/>
      <c r="G81" s="950"/>
      <c r="H81" s="950"/>
      <c r="I81" s="950"/>
      <c r="J81" s="950"/>
      <c r="K81" s="882" t="s">
        <v>42</v>
      </c>
      <c r="L81" s="515">
        <v>130.35</v>
      </c>
      <c r="M81" s="437">
        <v>3</v>
      </c>
      <c r="N81" s="516"/>
      <c r="O81" s="802"/>
      <c r="P81" s="387"/>
    </row>
    <row r="82" spans="3:16" s="344" customFormat="1" ht="15.75" x14ac:dyDescent="0.25">
      <c r="C82" s="801" t="s">
        <v>446</v>
      </c>
      <c r="D82" s="880" t="s">
        <v>464</v>
      </c>
      <c r="E82" s="950" t="s">
        <v>454</v>
      </c>
      <c r="F82" s="950"/>
      <c r="G82" s="950"/>
      <c r="H82" s="950"/>
      <c r="I82" s="950"/>
      <c r="J82" s="950"/>
      <c r="K82" s="882" t="s">
        <v>42</v>
      </c>
      <c r="L82" s="515">
        <v>146.91</v>
      </c>
      <c r="M82" s="437">
        <v>3</v>
      </c>
      <c r="N82" s="516"/>
      <c r="O82" s="802"/>
      <c r="P82" s="387"/>
    </row>
    <row r="83" spans="3:16" s="344" customFormat="1" ht="15.75" x14ac:dyDescent="0.25">
      <c r="C83" s="801" t="s">
        <v>455</v>
      </c>
      <c r="D83" s="880" t="s">
        <v>464</v>
      </c>
      <c r="E83" s="950" t="s">
        <v>456</v>
      </c>
      <c r="F83" s="950"/>
      <c r="G83" s="950"/>
      <c r="H83" s="950"/>
      <c r="I83" s="950"/>
      <c r="J83" s="950"/>
      <c r="K83" s="882" t="s">
        <v>7</v>
      </c>
      <c r="L83" s="517">
        <v>607.70000000000005</v>
      </c>
      <c r="M83" s="437">
        <v>1</v>
      </c>
      <c r="N83" s="516"/>
      <c r="O83" s="802"/>
      <c r="P83" s="387"/>
    </row>
    <row r="84" spans="3:16" s="344" customFormat="1" ht="15.75" x14ac:dyDescent="0.25">
      <c r="C84" s="801" t="s">
        <v>457</v>
      </c>
      <c r="D84" s="880" t="s">
        <v>464</v>
      </c>
      <c r="E84" s="950" t="s">
        <v>458</v>
      </c>
      <c r="F84" s="950"/>
      <c r="G84" s="950"/>
      <c r="H84" s="950"/>
      <c r="I84" s="950"/>
      <c r="J84" s="950"/>
      <c r="K84" s="882" t="s">
        <v>7</v>
      </c>
      <c r="L84" s="518">
        <v>29.091100000000001</v>
      </c>
      <c r="M84" s="437">
        <v>4</v>
      </c>
      <c r="N84" s="516"/>
      <c r="O84" s="803"/>
      <c r="P84" s="387"/>
    </row>
    <row r="85" spans="3:16" s="344" customFormat="1" ht="15.75" x14ac:dyDescent="0.25">
      <c r="C85" s="801" t="s">
        <v>459</v>
      </c>
      <c r="D85" s="880" t="s">
        <v>464</v>
      </c>
      <c r="E85" s="950" t="s">
        <v>460</v>
      </c>
      <c r="F85" s="950"/>
      <c r="G85" s="950"/>
      <c r="H85" s="950"/>
      <c r="I85" s="950"/>
      <c r="J85" s="950"/>
      <c r="K85" s="882" t="s">
        <v>7</v>
      </c>
      <c r="L85" s="518">
        <v>17.5</v>
      </c>
      <c r="M85" s="437">
        <v>4</v>
      </c>
      <c r="N85" s="516"/>
      <c r="O85" s="809"/>
      <c r="P85" s="387"/>
    </row>
    <row r="86" spans="3:16" s="344" customFormat="1" ht="15.75" x14ac:dyDescent="0.25">
      <c r="C86" s="810" t="s">
        <v>461</v>
      </c>
      <c r="D86" s="883" t="s">
        <v>464</v>
      </c>
      <c r="E86" s="1072" t="s">
        <v>462</v>
      </c>
      <c r="F86" s="1073"/>
      <c r="G86" s="1073"/>
      <c r="H86" s="1073"/>
      <c r="I86" s="1073"/>
      <c r="J86" s="1074"/>
      <c r="K86" s="380" t="s">
        <v>48</v>
      </c>
      <c r="L86" s="518">
        <v>12.68</v>
      </c>
      <c r="M86" s="437">
        <f>(9.68*6)</f>
        <v>58.08</v>
      </c>
      <c r="N86" s="516"/>
      <c r="O86" s="811"/>
      <c r="P86" s="387"/>
    </row>
    <row r="87" spans="3:16" s="344" customFormat="1" x14ac:dyDescent="0.25">
      <c r="C87" s="381"/>
      <c r="D87" s="701"/>
      <c r="E87" s="708"/>
      <c r="F87" s="708"/>
      <c r="G87" s="709"/>
      <c r="H87" s="708"/>
      <c r="I87" s="709"/>
      <c r="J87" s="710"/>
      <c r="K87" s="708"/>
      <c r="L87" s="703"/>
      <c r="M87" s="704"/>
      <c r="N87" s="705"/>
      <c r="O87" s="812"/>
      <c r="P87" s="387"/>
    </row>
    <row r="88" spans="3:16" s="344" customFormat="1" ht="15.6" customHeight="1" x14ac:dyDescent="0.25">
      <c r="C88" s="381" t="s">
        <v>50</v>
      </c>
      <c r="D88" s="706" t="s">
        <v>153</v>
      </c>
      <c r="E88" s="1019" t="s">
        <v>466</v>
      </c>
      <c r="F88" s="1020"/>
      <c r="G88" s="1020"/>
      <c r="H88" s="1020"/>
      <c r="I88" s="1020"/>
      <c r="J88" s="1020"/>
      <c r="K88" s="1021"/>
      <c r="L88" s="707" t="s">
        <v>7</v>
      </c>
      <c r="M88" s="352">
        <v>34</v>
      </c>
      <c r="N88" s="353"/>
      <c r="O88" s="813">
        <f>N88*M88</f>
        <v>0</v>
      </c>
      <c r="P88" s="387"/>
    </row>
    <row r="89" spans="3:16" s="344" customFormat="1" ht="15.6" customHeight="1" x14ac:dyDescent="0.25">
      <c r="C89" s="381" t="s">
        <v>50</v>
      </c>
      <c r="D89" s="695" t="s">
        <v>467</v>
      </c>
      <c r="E89" s="1019" t="s">
        <v>468</v>
      </c>
      <c r="F89" s="1020"/>
      <c r="G89" s="1020"/>
      <c r="H89" s="1020"/>
      <c r="I89" s="1020"/>
      <c r="J89" s="1020"/>
      <c r="K89" s="1021"/>
      <c r="L89" s="520" t="s">
        <v>7</v>
      </c>
      <c r="M89" s="352">
        <v>2</v>
      </c>
      <c r="N89" s="353"/>
      <c r="O89" s="813">
        <f>N89*M89</f>
        <v>0</v>
      </c>
      <c r="P89" s="387"/>
    </row>
    <row r="90" spans="3:16" s="344" customFormat="1" ht="15.6" customHeight="1" x14ac:dyDescent="0.25">
      <c r="C90" s="376" t="s">
        <v>50</v>
      </c>
      <c r="D90" s="695" t="s">
        <v>154</v>
      </c>
      <c r="E90" s="1019" t="s">
        <v>755</v>
      </c>
      <c r="F90" s="1020"/>
      <c r="G90" s="1020"/>
      <c r="H90" s="1020"/>
      <c r="I90" s="1020"/>
      <c r="J90" s="1020"/>
      <c r="K90" s="1021"/>
      <c r="L90" s="520" t="s">
        <v>7</v>
      </c>
      <c r="M90" s="352">
        <v>2</v>
      </c>
      <c r="N90" s="353"/>
      <c r="O90" s="813">
        <f t="shared" ref="O90:O99" si="4">N90*M90</f>
        <v>0</v>
      </c>
      <c r="P90" s="387"/>
    </row>
    <row r="91" spans="3:16" s="344" customFormat="1" ht="15.6" customHeight="1" x14ac:dyDescent="0.25">
      <c r="C91" s="376" t="s">
        <v>50</v>
      </c>
      <c r="D91" s="695" t="s">
        <v>467</v>
      </c>
      <c r="E91" s="1019" t="s">
        <v>756</v>
      </c>
      <c r="F91" s="1020"/>
      <c r="G91" s="1020"/>
      <c r="H91" s="1020"/>
      <c r="I91" s="1020"/>
      <c r="J91" s="1020"/>
      <c r="K91" s="1021"/>
      <c r="L91" s="520" t="s">
        <v>7</v>
      </c>
      <c r="M91" s="352">
        <v>2</v>
      </c>
      <c r="N91" s="353"/>
      <c r="O91" s="813">
        <f t="shared" si="4"/>
        <v>0</v>
      </c>
      <c r="P91" s="387"/>
    </row>
    <row r="92" spans="3:16" s="344" customFormat="1" ht="15.6" customHeight="1" x14ac:dyDescent="0.25">
      <c r="C92" s="372" t="s">
        <v>50</v>
      </c>
      <c r="D92" s="695" t="s">
        <v>151</v>
      </c>
      <c r="E92" s="1019" t="s">
        <v>757</v>
      </c>
      <c r="F92" s="1020"/>
      <c r="G92" s="1020"/>
      <c r="H92" s="1020"/>
      <c r="I92" s="1020"/>
      <c r="J92" s="1020"/>
      <c r="K92" s="1021"/>
      <c r="L92" s="520" t="s">
        <v>7</v>
      </c>
      <c r="M92" s="352">
        <v>4</v>
      </c>
      <c r="N92" s="353"/>
      <c r="O92" s="813">
        <f t="shared" si="4"/>
        <v>0</v>
      </c>
      <c r="P92" s="387"/>
    </row>
    <row r="93" spans="3:16" s="344" customFormat="1" ht="15.6" customHeight="1" x14ac:dyDescent="0.25">
      <c r="C93" s="372" t="s">
        <v>50</v>
      </c>
      <c r="D93" s="695" t="s">
        <v>151</v>
      </c>
      <c r="E93" s="1019" t="s">
        <v>758</v>
      </c>
      <c r="F93" s="1020"/>
      <c r="G93" s="1020"/>
      <c r="H93" s="1020"/>
      <c r="I93" s="1020"/>
      <c r="J93" s="1020"/>
      <c r="K93" s="1021"/>
      <c r="L93" s="520" t="s">
        <v>7</v>
      </c>
      <c r="M93" s="352">
        <v>2</v>
      </c>
      <c r="N93" s="353"/>
      <c r="O93" s="813">
        <f t="shared" si="4"/>
        <v>0</v>
      </c>
      <c r="P93" s="387"/>
    </row>
    <row r="94" spans="3:16" s="344" customFormat="1" ht="15.6" customHeight="1" x14ac:dyDescent="0.25">
      <c r="C94" s="372" t="s">
        <v>50</v>
      </c>
      <c r="D94" s="695" t="s">
        <v>154</v>
      </c>
      <c r="E94" s="1019" t="s">
        <v>759</v>
      </c>
      <c r="F94" s="1020"/>
      <c r="G94" s="1020"/>
      <c r="H94" s="1020"/>
      <c r="I94" s="1020"/>
      <c r="J94" s="1020"/>
      <c r="K94" s="1021"/>
      <c r="L94" s="520" t="s">
        <v>7</v>
      </c>
      <c r="M94" s="352">
        <v>2</v>
      </c>
      <c r="N94" s="353"/>
      <c r="O94" s="813">
        <f t="shared" si="4"/>
        <v>0</v>
      </c>
      <c r="P94" s="387"/>
    </row>
    <row r="95" spans="3:16" s="344" customFormat="1" ht="15.6" customHeight="1" x14ac:dyDescent="0.25">
      <c r="C95" s="372" t="s">
        <v>50</v>
      </c>
      <c r="D95" s="695" t="s">
        <v>154</v>
      </c>
      <c r="E95" s="1019" t="s">
        <v>760</v>
      </c>
      <c r="F95" s="1020"/>
      <c r="G95" s="1020"/>
      <c r="H95" s="1020"/>
      <c r="I95" s="1020"/>
      <c r="J95" s="1020"/>
      <c r="K95" s="1021"/>
      <c r="L95" s="520" t="s">
        <v>7</v>
      </c>
      <c r="M95" s="352">
        <v>2</v>
      </c>
      <c r="N95" s="353"/>
      <c r="O95" s="813">
        <f t="shared" si="4"/>
        <v>0</v>
      </c>
      <c r="P95" s="387"/>
    </row>
    <row r="96" spans="3:16" s="344" customFormat="1" ht="15.6" customHeight="1" x14ac:dyDescent="0.25">
      <c r="C96" s="372" t="s">
        <v>50</v>
      </c>
      <c r="D96" s="695" t="s">
        <v>154</v>
      </c>
      <c r="E96" s="1019" t="s">
        <v>761</v>
      </c>
      <c r="F96" s="1020"/>
      <c r="G96" s="1020"/>
      <c r="H96" s="1020"/>
      <c r="I96" s="1020"/>
      <c r="J96" s="1020"/>
      <c r="K96" s="1021"/>
      <c r="L96" s="520" t="s">
        <v>7</v>
      </c>
      <c r="M96" s="352">
        <v>2</v>
      </c>
      <c r="N96" s="353"/>
      <c r="O96" s="813">
        <f t="shared" si="4"/>
        <v>0</v>
      </c>
      <c r="P96" s="387"/>
    </row>
    <row r="97" spans="3:17" s="344" customFormat="1" ht="15.6" customHeight="1" x14ac:dyDescent="0.25">
      <c r="C97" s="372" t="s">
        <v>50</v>
      </c>
      <c r="D97" s="695" t="s">
        <v>467</v>
      </c>
      <c r="E97" s="1019" t="s">
        <v>762</v>
      </c>
      <c r="F97" s="1020"/>
      <c r="G97" s="1020"/>
      <c r="H97" s="1020"/>
      <c r="I97" s="1020"/>
      <c r="J97" s="1020"/>
      <c r="K97" s="1021"/>
      <c r="L97" s="520" t="s">
        <v>7</v>
      </c>
      <c r="M97" s="352">
        <v>4</v>
      </c>
      <c r="N97" s="353"/>
      <c r="O97" s="813">
        <f t="shared" si="4"/>
        <v>0</v>
      </c>
      <c r="P97" s="387"/>
    </row>
    <row r="98" spans="3:17" s="344" customFormat="1" ht="15.6" customHeight="1" x14ac:dyDescent="0.25">
      <c r="C98" s="372" t="s">
        <v>50</v>
      </c>
      <c r="D98" s="695" t="s">
        <v>467</v>
      </c>
      <c r="E98" s="1019" t="s">
        <v>763</v>
      </c>
      <c r="F98" s="1020"/>
      <c r="G98" s="1020"/>
      <c r="H98" s="1020"/>
      <c r="I98" s="1020"/>
      <c r="J98" s="1020"/>
      <c r="K98" s="1021"/>
      <c r="L98" s="520" t="s">
        <v>7</v>
      </c>
      <c r="M98" s="352">
        <v>4</v>
      </c>
      <c r="N98" s="353"/>
      <c r="O98" s="813">
        <f t="shared" si="4"/>
        <v>0</v>
      </c>
      <c r="P98" s="387"/>
    </row>
    <row r="99" spans="3:17" s="344" customFormat="1" ht="15.6" customHeight="1" x14ac:dyDescent="0.25">
      <c r="C99" s="373" t="s">
        <v>50</v>
      </c>
      <c r="D99" s="695" t="s">
        <v>154</v>
      </c>
      <c r="E99" s="1019" t="s">
        <v>764</v>
      </c>
      <c r="F99" s="1020"/>
      <c r="G99" s="1020"/>
      <c r="H99" s="1020"/>
      <c r="I99" s="1020"/>
      <c r="J99" s="1020"/>
      <c r="K99" s="1021"/>
      <c r="L99" s="520" t="s">
        <v>7</v>
      </c>
      <c r="M99" s="352">
        <v>2</v>
      </c>
      <c r="N99" s="353"/>
      <c r="O99" s="813">
        <f t="shared" si="4"/>
        <v>0</v>
      </c>
      <c r="P99" s="387"/>
    </row>
    <row r="100" spans="3:17" s="344" customFormat="1" ht="15.6" customHeight="1" x14ac:dyDescent="0.25">
      <c r="C100" s="508" t="s">
        <v>714</v>
      </c>
      <c r="D100" s="382" t="s">
        <v>225</v>
      </c>
      <c r="E100" s="1019" t="s">
        <v>226</v>
      </c>
      <c r="F100" s="1020"/>
      <c r="G100" s="1020"/>
      <c r="H100" s="1020"/>
      <c r="I100" s="1020"/>
      <c r="J100" s="1020"/>
      <c r="K100" s="1021"/>
      <c r="L100" s="520" t="s">
        <v>7</v>
      </c>
      <c r="M100" s="352">
        <v>62</v>
      </c>
      <c r="N100" s="353"/>
      <c r="O100" s="813">
        <f t="shared" ref="O100:O106" si="5">N100*M100</f>
        <v>0</v>
      </c>
      <c r="P100" s="387"/>
    </row>
    <row r="101" spans="3:17" s="344" customFormat="1" ht="15.6" customHeight="1" x14ac:dyDescent="0.25">
      <c r="C101" s="509" t="s">
        <v>714</v>
      </c>
      <c r="D101" s="383" t="s">
        <v>58</v>
      </c>
      <c r="E101" s="1019" t="s">
        <v>59</v>
      </c>
      <c r="F101" s="1020"/>
      <c r="G101" s="1020"/>
      <c r="H101" s="1020"/>
      <c r="I101" s="1020"/>
      <c r="J101" s="1020"/>
      <c r="K101" s="1021"/>
      <c r="L101" s="520" t="s">
        <v>48</v>
      </c>
      <c r="M101" s="352">
        <v>2673.24</v>
      </c>
      <c r="N101" s="353"/>
      <c r="O101" s="813">
        <f t="shared" si="5"/>
        <v>0</v>
      </c>
      <c r="P101" s="387"/>
    </row>
    <row r="102" spans="3:17" s="344" customFormat="1" ht="15.6" customHeight="1" x14ac:dyDescent="0.25">
      <c r="C102" s="510" t="s">
        <v>50</v>
      </c>
      <c r="D102" s="383" t="s">
        <v>50</v>
      </c>
      <c r="E102" s="1019" t="s">
        <v>60</v>
      </c>
      <c r="F102" s="1020"/>
      <c r="G102" s="1020"/>
      <c r="H102" s="1020"/>
      <c r="I102" s="1020"/>
      <c r="J102" s="1020"/>
      <c r="K102" s="1021"/>
      <c r="L102" s="520" t="s">
        <v>8</v>
      </c>
      <c r="M102" s="352">
        <v>177</v>
      </c>
      <c r="N102" s="353"/>
      <c r="O102" s="813">
        <f t="shared" si="5"/>
        <v>0</v>
      </c>
      <c r="P102" s="387"/>
    </row>
    <row r="103" spans="3:17" s="344" customFormat="1" ht="15.6" customHeight="1" x14ac:dyDescent="0.25">
      <c r="C103" s="510" t="s">
        <v>50</v>
      </c>
      <c r="D103" s="383" t="s">
        <v>50</v>
      </c>
      <c r="E103" s="1019" t="s">
        <v>61</v>
      </c>
      <c r="F103" s="1020"/>
      <c r="G103" s="1020"/>
      <c r="H103" s="1020"/>
      <c r="I103" s="1020"/>
      <c r="J103" s="1020"/>
      <c r="K103" s="1021"/>
      <c r="L103" s="520" t="s">
        <v>8</v>
      </c>
      <c r="M103" s="352">
        <v>338</v>
      </c>
      <c r="N103" s="353"/>
      <c r="O103" s="813">
        <f t="shared" si="5"/>
        <v>0</v>
      </c>
      <c r="P103" s="387"/>
    </row>
    <row r="104" spans="3:17" s="344" customFormat="1" ht="15.6" customHeight="1" x14ac:dyDescent="0.25">
      <c r="C104" s="510" t="s">
        <v>714</v>
      </c>
      <c r="D104" s="349" t="s">
        <v>479</v>
      </c>
      <c r="E104" s="1019" t="s">
        <v>480</v>
      </c>
      <c r="F104" s="1020"/>
      <c r="G104" s="1020"/>
      <c r="H104" s="1020"/>
      <c r="I104" s="1020"/>
      <c r="J104" s="1020"/>
      <c r="K104" s="1021"/>
      <c r="L104" s="520" t="s">
        <v>42</v>
      </c>
      <c r="M104" s="352">
        <v>96</v>
      </c>
      <c r="N104" s="353"/>
      <c r="O104" s="813">
        <f t="shared" si="5"/>
        <v>0</v>
      </c>
      <c r="P104" s="387"/>
    </row>
    <row r="105" spans="3:17" s="344" customFormat="1" ht="15.6" customHeight="1" x14ac:dyDescent="0.25">
      <c r="C105" s="510" t="s">
        <v>714</v>
      </c>
      <c r="D105" s="383" t="s">
        <v>62</v>
      </c>
      <c r="E105" s="1019" t="s">
        <v>63</v>
      </c>
      <c r="F105" s="1020"/>
      <c r="G105" s="1020"/>
      <c r="H105" s="1020"/>
      <c r="I105" s="1020"/>
      <c r="J105" s="1020"/>
      <c r="K105" s="1021"/>
      <c r="L105" s="693" t="s">
        <v>7</v>
      </c>
      <c r="M105" s="350">
        <v>2</v>
      </c>
      <c r="N105" s="353"/>
      <c r="O105" s="797">
        <f t="shared" si="5"/>
        <v>0</v>
      </c>
      <c r="P105" s="387"/>
    </row>
    <row r="106" spans="3:17" s="344" customFormat="1" ht="15.6" customHeight="1" x14ac:dyDescent="0.25">
      <c r="C106" s="919" t="s">
        <v>714</v>
      </c>
      <c r="D106" s="917" t="s">
        <v>64</v>
      </c>
      <c r="E106" s="1019" t="s">
        <v>65</v>
      </c>
      <c r="F106" s="1020"/>
      <c r="G106" s="1020"/>
      <c r="H106" s="1020"/>
      <c r="I106" s="1020"/>
      <c r="J106" s="1020"/>
      <c r="K106" s="1021"/>
      <c r="L106" s="693" t="s">
        <v>7</v>
      </c>
      <c r="M106" s="400">
        <v>2</v>
      </c>
      <c r="N106" s="425"/>
      <c r="O106" s="814">
        <f t="shared" si="5"/>
        <v>0</v>
      </c>
      <c r="P106" s="387"/>
    </row>
    <row r="107" spans="3:17" s="344" customFormat="1" ht="14.45" customHeight="1" x14ac:dyDescent="0.25">
      <c r="C107" s="807" t="s">
        <v>739</v>
      </c>
      <c r="D107" s="765" t="s">
        <v>791</v>
      </c>
      <c r="E107" s="994" t="s">
        <v>785</v>
      </c>
      <c r="F107" s="995"/>
      <c r="G107" s="995"/>
      <c r="H107" s="995"/>
      <c r="I107" s="995"/>
      <c r="J107" s="995"/>
      <c r="K107" s="996"/>
      <c r="L107" s="759" t="s">
        <v>7</v>
      </c>
      <c r="M107" s="760">
        <v>2</v>
      </c>
      <c r="N107" s="766"/>
      <c r="O107" s="817">
        <f>M107*N107</f>
        <v>0</v>
      </c>
      <c r="P107" s="387"/>
      <c r="Q107" s="604"/>
    </row>
    <row r="108" spans="3:17" s="344" customFormat="1" ht="15.6" customHeight="1" x14ac:dyDescent="0.25">
      <c r="C108" s="818" t="s">
        <v>50</v>
      </c>
      <c r="D108" s="877" t="s">
        <v>482</v>
      </c>
      <c r="E108" s="1001" t="s">
        <v>784</v>
      </c>
      <c r="F108" s="1002"/>
      <c r="G108" s="1002"/>
      <c r="H108" s="1002"/>
      <c r="I108" s="1002"/>
      <c r="J108" s="1003"/>
      <c r="K108" s="884" t="s">
        <v>7</v>
      </c>
      <c r="L108" s="711">
        <v>3998</v>
      </c>
      <c r="M108" s="712">
        <v>2</v>
      </c>
      <c r="N108" s="715"/>
      <c r="O108" s="819"/>
      <c r="P108" s="387"/>
      <c r="Q108" s="604"/>
    </row>
    <row r="109" spans="3:17" s="344" customFormat="1" ht="15.6" customHeight="1" x14ac:dyDescent="0.25">
      <c r="C109" s="801" t="s">
        <v>50</v>
      </c>
      <c r="D109" s="877" t="s">
        <v>482</v>
      </c>
      <c r="E109" s="998" t="s">
        <v>752</v>
      </c>
      <c r="F109" s="999"/>
      <c r="G109" s="999"/>
      <c r="H109" s="999"/>
      <c r="I109" s="999"/>
      <c r="J109" s="1000"/>
      <c r="K109" s="885" t="s">
        <v>7</v>
      </c>
      <c r="L109" s="713">
        <v>132</v>
      </c>
      <c r="M109" s="714">
        <v>4</v>
      </c>
      <c r="N109" s="713"/>
      <c r="O109" s="820"/>
      <c r="P109" s="387"/>
      <c r="Q109" s="604"/>
    </row>
    <row r="110" spans="3:17" s="344" customFormat="1" ht="15.6" customHeight="1" x14ac:dyDescent="0.25">
      <c r="C110" s="801" t="s">
        <v>786</v>
      </c>
      <c r="D110" s="877" t="s">
        <v>482</v>
      </c>
      <c r="E110" s="1004" t="s">
        <v>745</v>
      </c>
      <c r="F110" s="1005"/>
      <c r="G110" s="1005"/>
      <c r="H110" s="1005"/>
      <c r="I110" s="1005"/>
      <c r="J110" s="1006"/>
      <c r="K110" s="886" t="s">
        <v>746</v>
      </c>
      <c r="L110" s="711">
        <v>137.91</v>
      </c>
      <c r="M110" s="714">
        <v>40</v>
      </c>
      <c r="N110" s="713"/>
      <c r="O110" s="820"/>
      <c r="P110" s="387"/>
      <c r="Q110" s="604"/>
    </row>
    <row r="111" spans="3:17" s="344" customFormat="1" ht="15.6" customHeight="1" x14ac:dyDescent="0.25">
      <c r="C111" s="801" t="s">
        <v>787</v>
      </c>
      <c r="D111" s="877" t="s">
        <v>482</v>
      </c>
      <c r="E111" s="998" t="s">
        <v>748</v>
      </c>
      <c r="F111" s="999"/>
      <c r="G111" s="999"/>
      <c r="H111" s="999"/>
      <c r="I111" s="999"/>
      <c r="J111" s="1000"/>
      <c r="K111" s="885" t="s">
        <v>7</v>
      </c>
      <c r="L111" s="711">
        <v>353.67</v>
      </c>
      <c r="M111" s="714">
        <v>4</v>
      </c>
      <c r="N111" s="713"/>
      <c r="O111" s="820"/>
      <c r="P111" s="387"/>
      <c r="Q111" s="604"/>
    </row>
    <row r="112" spans="3:17" s="344" customFormat="1" ht="15.6" customHeight="1" x14ac:dyDescent="0.25">
      <c r="C112" s="801" t="s">
        <v>788</v>
      </c>
      <c r="D112" s="877" t="s">
        <v>482</v>
      </c>
      <c r="E112" s="998" t="s">
        <v>750</v>
      </c>
      <c r="F112" s="999"/>
      <c r="G112" s="999"/>
      <c r="H112" s="999"/>
      <c r="I112" s="999"/>
      <c r="J112" s="1000"/>
      <c r="K112" s="887" t="s">
        <v>8</v>
      </c>
      <c r="L112" s="711">
        <v>3.58</v>
      </c>
      <c r="M112" s="714">
        <v>30</v>
      </c>
      <c r="N112" s="713"/>
      <c r="O112" s="820"/>
      <c r="P112" s="387"/>
      <c r="Q112" s="604"/>
    </row>
    <row r="113" spans="1:113" s="344" customFormat="1" ht="15.6" customHeight="1" x14ac:dyDescent="0.25">
      <c r="C113" s="801" t="s">
        <v>789</v>
      </c>
      <c r="D113" s="877" t="s">
        <v>482</v>
      </c>
      <c r="E113" s="998" t="s">
        <v>751</v>
      </c>
      <c r="F113" s="999"/>
      <c r="G113" s="999"/>
      <c r="H113" s="999"/>
      <c r="I113" s="999"/>
      <c r="J113" s="1000"/>
      <c r="K113" s="885" t="s">
        <v>8</v>
      </c>
      <c r="L113" s="711">
        <v>8.5500000000000007</v>
      </c>
      <c r="M113" s="714">
        <v>50</v>
      </c>
      <c r="N113" s="713"/>
      <c r="O113" s="820"/>
      <c r="P113" s="387"/>
      <c r="Q113" s="604"/>
    </row>
    <row r="114" spans="1:113" s="344" customFormat="1" ht="15.6" customHeight="1" x14ac:dyDescent="0.25">
      <c r="C114" s="821" t="s">
        <v>790</v>
      </c>
      <c r="D114" s="877" t="s">
        <v>482</v>
      </c>
      <c r="E114" s="969" t="s">
        <v>754</v>
      </c>
      <c r="F114" s="970"/>
      <c r="G114" s="970"/>
      <c r="H114" s="970"/>
      <c r="I114" s="970"/>
      <c r="J114" s="997"/>
      <c r="K114" s="888" t="s">
        <v>42</v>
      </c>
      <c r="L114" s="711">
        <v>162.51</v>
      </c>
      <c r="M114" s="714">
        <v>10</v>
      </c>
      <c r="N114" s="713"/>
      <c r="O114" s="822"/>
      <c r="P114" s="387"/>
    </row>
    <row r="115" spans="1:113" s="344" customFormat="1" ht="15.6" customHeight="1" thickBot="1" x14ac:dyDescent="0.3">
      <c r="C115" s="854" t="s">
        <v>714</v>
      </c>
      <c r="D115" s="855" t="s">
        <v>753</v>
      </c>
      <c r="E115" s="1019" t="s">
        <v>754</v>
      </c>
      <c r="F115" s="1020"/>
      <c r="G115" s="1020"/>
      <c r="H115" s="1020"/>
      <c r="I115" s="1020"/>
      <c r="J115" s="1020"/>
      <c r="K115" s="1021"/>
      <c r="L115" s="856" t="s">
        <v>42</v>
      </c>
      <c r="M115" s="857">
        <v>10</v>
      </c>
      <c r="N115" s="713"/>
      <c r="O115" s="858">
        <f>M115*N115</f>
        <v>0</v>
      </c>
      <c r="P115" s="936"/>
    </row>
    <row r="116" spans="1:113" s="3" customFormat="1" ht="26.25" customHeight="1" thickBot="1" x14ac:dyDescent="0.3">
      <c r="A116"/>
      <c r="B116"/>
      <c r="C116" s="491"/>
      <c r="D116" s="868" t="s">
        <v>1</v>
      </c>
      <c r="E116" s="988" t="s">
        <v>713</v>
      </c>
      <c r="F116" s="988"/>
      <c r="G116" s="988"/>
      <c r="H116" s="988"/>
      <c r="I116" s="988"/>
      <c r="J116" s="988"/>
      <c r="K116" s="876"/>
      <c r="L116" s="651"/>
      <c r="M116" s="652"/>
      <c r="N116" s="653"/>
      <c r="O116" s="654"/>
      <c r="P116" s="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row>
    <row r="117" spans="1:113" s="4" customFormat="1" ht="15.6" customHeight="1" thickBot="1" x14ac:dyDescent="0.3">
      <c r="A117"/>
      <c r="B117"/>
      <c r="C117" s="690"/>
      <c r="D117" s="972" t="s">
        <v>43</v>
      </c>
      <c r="E117" s="972"/>
      <c r="F117" s="972"/>
      <c r="G117" s="972"/>
      <c r="H117" s="972"/>
      <c r="I117" s="972"/>
      <c r="J117" s="972"/>
      <c r="K117" s="972"/>
      <c r="L117" s="407"/>
      <c r="M117" s="408"/>
      <c r="N117" s="409"/>
      <c r="O117" s="410"/>
      <c r="P117" s="6"/>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row>
    <row r="118" spans="1:113" s="344" customFormat="1" ht="16.5" thickBot="1" x14ac:dyDescent="0.3">
      <c r="C118" s="717"/>
      <c r="D118" s="718"/>
      <c r="E118" s="415"/>
      <c r="F118" s="415"/>
      <c r="G118" s="415"/>
      <c r="H118" s="415"/>
      <c r="I118" s="415"/>
      <c r="J118" s="415"/>
      <c r="K118" s="415"/>
      <c r="L118" s="396"/>
      <c r="M118" s="397"/>
      <c r="N118" s="398"/>
      <c r="O118" s="399"/>
      <c r="P118" s="387"/>
    </row>
    <row r="119" spans="1:113" s="344" customFormat="1" ht="15.75" x14ac:dyDescent="0.25">
      <c r="C119" s="345" t="s">
        <v>714</v>
      </c>
      <c r="D119" s="383" t="s">
        <v>382</v>
      </c>
      <c r="E119" s="947" t="s">
        <v>383</v>
      </c>
      <c r="F119" s="947"/>
      <c r="G119" s="947"/>
      <c r="H119" s="947"/>
      <c r="I119" s="947"/>
      <c r="J119" s="947"/>
      <c r="K119" s="949"/>
      <c r="L119" s="746" t="s">
        <v>7</v>
      </c>
      <c r="M119" s="413">
        <v>2</v>
      </c>
      <c r="N119" s="414"/>
      <c r="O119" s="825">
        <f t="shared" ref="O119:O123" si="6">N119*M119</f>
        <v>0</v>
      </c>
      <c r="P119" s="387"/>
    </row>
    <row r="120" spans="1:113" s="344" customFormat="1" ht="15.75" x14ac:dyDescent="0.25">
      <c r="C120" s="345" t="s">
        <v>714</v>
      </c>
      <c r="D120" s="383" t="s">
        <v>384</v>
      </c>
      <c r="E120" s="947" t="s">
        <v>385</v>
      </c>
      <c r="F120" s="947"/>
      <c r="G120" s="947"/>
      <c r="H120" s="947"/>
      <c r="I120" s="947"/>
      <c r="J120" s="947"/>
      <c r="K120" s="949"/>
      <c r="L120" s="682" t="s">
        <v>7</v>
      </c>
      <c r="M120" s="352">
        <v>8</v>
      </c>
      <c r="N120" s="378"/>
      <c r="O120" s="826">
        <f t="shared" si="6"/>
        <v>0</v>
      </c>
      <c r="P120" s="387"/>
    </row>
    <row r="121" spans="1:113" s="344" customFormat="1" ht="15.75" x14ac:dyDescent="0.25">
      <c r="C121" s="345" t="s">
        <v>714</v>
      </c>
      <c r="D121" s="601" t="s">
        <v>58</v>
      </c>
      <c r="E121" s="947" t="s">
        <v>59</v>
      </c>
      <c r="F121" s="947"/>
      <c r="G121" s="947"/>
      <c r="H121" s="947"/>
      <c r="I121" s="947"/>
      <c r="J121" s="947"/>
      <c r="K121" s="949"/>
      <c r="L121" s="682" t="s">
        <v>48</v>
      </c>
      <c r="M121" s="352">
        <v>1027.26</v>
      </c>
      <c r="N121" s="378"/>
      <c r="O121" s="826">
        <f t="shared" si="6"/>
        <v>0</v>
      </c>
      <c r="P121" s="387"/>
    </row>
    <row r="122" spans="1:113" s="344" customFormat="1" ht="15.75" x14ac:dyDescent="0.25">
      <c r="C122" s="345" t="s">
        <v>50</v>
      </c>
      <c r="D122" s="601" t="s">
        <v>50</v>
      </c>
      <c r="E122" s="947" t="s">
        <v>60</v>
      </c>
      <c r="F122" s="947"/>
      <c r="G122" s="947"/>
      <c r="H122" s="947"/>
      <c r="I122" s="947"/>
      <c r="J122" s="947"/>
      <c r="K122" s="949"/>
      <c r="L122" s="682" t="s">
        <v>8</v>
      </c>
      <c r="M122" s="352">
        <v>62.6</v>
      </c>
      <c r="N122" s="378"/>
      <c r="O122" s="826">
        <f t="shared" si="6"/>
        <v>0</v>
      </c>
      <c r="P122" s="387"/>
    </row>
    <row r="123" spans="1:113" s="344" customFormat="1" ht="15.75" x14ac:dyDescent="0.25">
      <c r="C123" s="345" t="s">
        <v>50</v>
      </c>
      <c r="D123" s="601" t="s">
        <v>50</v>
      </c>
      <c r="E123" s="951" t="s">
        <v>61</v>
      </c>
      <c r="F123" s="951"/>
      <c r="G123" s="951"/>
      <c r="H123" s="951"/>
      <c r="I123" s="951"/>
      <c r="J123" s="951"/>
      <c r="K123" s="952"/>
      <c r="L123" s="682" t="s">
        <v>8</v>
      </c>
      <c r="M123" s="352">
        <v>51.45</v>
      </c>
      <c r="N123" s="378"/>
      <c r="O123" s="826">
        <f t="shared" si="6"/>
        <v>0</v>
      </c>
      <c r="P123" s="387"/>
    </row>
    <row r="124" spans="1:113" s="344" customFormat="1" ht="15.75" x14ac:dyDescent="0.25">
      <c r="C124" s="757" t="s">
        <v>739</v>
      </c>
      <c r="D124" s="768" t="s">
        <v>409</v>
      </c>
      <c r="E124" s="976" t="s">
        <v>792</v>
      </c>
      <c r="F124" s="977"/>
      <c r="G124" s="977"/>
      <c r="H124" s="977"/>
      <c r="I124" s="977"/>
      <c r="J124" s="977"/>
      <c r="K124" s="977"/>
      <c r="L124" s="769" t="s">
        <v>7</v>
      </c>
      <c r="M124" s="753">
        <v>1</v>
      </c>
      <c r="N124" s="770"/>
      <c r="O124" s="827">
        <f>M124*N124</f>
        <v>0</v>
      </c>
      <c r="P124" s="387"/>
    </row>
    <row r="125" spans="1:113" s="344" customFormat="1" ht="15.6" customHeight="1" x14ac:dyDescent="0.25">
      <c r="C125" s="818" t="s">
        <v>50</v>
      </c>
      <c r="D125" s="787" t="s">
        <v>533</v>
      </c>
      <c r="E125" s="978" t="s">
        <v>481</v>
      </c>
      <c r="F125" s="979"/>
      <c r="G125" s="979"/>
      <c r="H125" s="979"/>
      <c r="I125" s="979"/>
      <c r="J125" s="980"/>
      <c r="K125" s="891" t="s">
        <v>7</v>
      </c>
      <c r="L125" s="747">
        <v>82500</v>
      </c>
      <c r="M125" s="352">
        <v>1</v>
      </c>
      <c r="N125" s="378"/>
      <c r="O125" s="828"/>
      <c r="P125" s="387"/>
    </row>
    <row r="126" spans="1:113" s="344" customFormat="1" ht="15.75" x14ac:dyDescent="0.25">
      <c r="C126" s="829" t="s">
        <v>446</v>
      </c>
      <c r="D126" s="889" t="s">
        <v>533</v>
      </c>
      <c r="E126" s="950" t="s">
        <v>448</v>
      </c>
      <c r="F126" s="950"/>
      <c r="G126" s="950"/>
      <c r="H126" s="950"/>
      <c r="I126" s="950"/>
      <c r="J126" s="950"/>
      <c r="K126" s="890" t="s">
        <v>7</v>
      </c>
      <c r="L126" s="515">
        <v>1.04</v>
      </c>
      <c r="M126" s="519">
        <v>10</v>
      </c>
      <c r="N126" s="378"/>
      <c r="O126" s="830"/>
      <c r="P126" s="387"/>
      <c r="Q126" s="603"/>
    </row>
    <row r="127" spans="1:113" s="344" customFormat="1" ht="15.75" x14ac:dyDescent="0.25">
      <c r="C127" s="831" t="s">
        <v>446</v>
      </c>
      <c r="D127" s="889" t="s">
        <v>533</v>
      </c>
      <c r="E127" s="950" t="s">
        <v>449</v>
      </c>
      <c r="F127" s="950"/>
      <c r="G127" s="950"/>
      <c r="H127" s="950"/>
      <c r="I127" s="950"/>
      <c r="J127" s="950"/>
      <c r="K127" s="890" t="s">
        <v>450</v>
      </c>
      <c r="L127" s="515">
        <v>487.16</v>
      </c>
      <c r="M127" s="519">
        <v>3</v>
      </c>
      <c r="N127" s="378"/>
      <c r="O127" s="832"/>
      <c r="P127" s="387"/>
    </row>
    <row r="128" spans="1:113" s="344" customFormat="1" ht="15.75" x14ac:dyDescent="0.25">
      <c r="C128" s="829" t="s">
        <v>446</v>
      </c>
      <c r="D128" s="889" t="s">
        <v>533</v>
      </c>
      <c r="E128" s="950" t="s">
        <v>451</v>
      </c>
      <c r="F128" s="950"/>
      <c r="G128" s="950"/>
      <c r="H128" s="950"/>
      <c r="I128" s="950"/>
      <c r="J128" s="950"/>
      <c r="K128" s="890" t="s">
        <v>452</v>
      </c>
      <c r="L128" s="515">
        <v>135.71</v>
      </c>
      <c r="M128" s="519">
        <v>3</v>
      </c>
      <c r="N128" s="378"/>
      <c r="O128" s="832"/>
      <c r="P128" s="387"/>
    </row>
    <row r="129" spans="3:16" s="344" customFormat="1" ht="15.75" x14ac:dyDescent="0.25">
      <c r="C129" s="831" t="s">
        <v>446</v>
      </c>
      <c r="D129" s="889" t="s">
        <v>533</v>
      </c>
      <c r="E129" s="950" t="s">
        <v>453</v>
      </c>
      <c r="F129" s="950"/>
      <c r="G129" s="950"/>
      <c r="H129" s="950"/>
      <c r="I129" s="950"/>
      <c r="J129" s="950"/>
      <c r="K129" s="890" t="s">
        <v>42</v>
      </c>
      <c r="L129" s="515">
        <v>130.35</v>
      </c>
      <c r="M129" s="519">
        <v>3</v>
      </c>
      <c r="N129" s="378"/>
      <c r="O129" s="830"/>
      <c r="P129" s="387"/>
    </row>
    <row r="130" spans="3:16" s="344" customFormat="1" ht="15.75" x14ac:dyDescent="0.25">
      <c r="C130" s="829" t="s">
        <v>446</v>
      </c>
      <c r="D130" s="889" t="s">
        <v>533</v>
      </c>
      <c r="E130" s="950" t="s">
        <v>454</v>
      </c>
      <c r="F130" s="950"/>
      <c r="G130" s="950"/>
      <c r="H130" s="950"/>
      <c r="I130" s="950"/>
      <c r="J130" s="950"/>
      <c r="K130" s="890" t="s">
        <v>42</v>
      </c>
      <c r="L130" s="515">
        <v>146.91</v>
      </c>
      <c r="M130" s="519">
        <v>3</v>
      </c>
      <c r="N130" s="378"/>
      <c r="O130" s="833"/>
      <c r="P130" s="387"/>
    </row>
    <row r="131" spans="3:16" s="344" customFormat="1" ht="15.75" x14ac:dyDescent="0.25">
      <c r="C131" s="831" t="s">
        <v>455</v>
      </c>
      <c r="D131" s="889" t="s">
        <v>533</v>
      </c>
      <c r="E131" s="950" t="s">
        <v>456</v>
      </c>
      <c r="F131" s="950"/>
      <c r="G131" s="950"/>
      <c r="H131" s="950"/>
      <c r="I131" s="950"/>
      <c r="J131" s="950"/>
      <c r="K131" s="890" t="s">
        <v>7</v>
      </c>
      <c r="L131" s="517">
        <v>607.70000000000005</v>
      </c>
      <c r="M131" s="519">
        <v>1</v>
      </c>
      <c r="N131" s="378"/>
      <c r="O131" s="833"/>
      <c r="P131" s="387"/>
    </row>
    <row r="132" spans="3:16" s="344" customFormat="1" ht="15.75" x14ac:dyDescent="0.25">
      <c r="C132" s="801" t="s">
        <v>799</v>
      </c>
      <c r="D132" s="889" t="s">
        <v>533</v>
      </c>
      <c r="E132" s="969" t="s">
        <v>484</v>
      </c>
      <c r="F132" s="970"/>
      <c r="G132" s="970"/>
      <c r="H132" s="970"/>
      <c r="I132" s="970"/>
      <c r="J132" s="997"/>
      <c r="K132" s="892" t="s">
        <v>7</v>
      </c>
      <c r="L132" s="518">
        <v>6560.7</v>
      </c>
      <c r="M132" s="519">
        <v>1</v>
      </c>
      <c r="N132" s="378"/>
      <c r="O132" s="834"/>
      <c r="P132" s="387"/>
    </row>
    <row r="133" spans="3:16" s="344" customFormat="1" x14ac:dyDescent="0.25">
      <c r="C133" s="381"/>
      <c r="D133" s="720"/>
      <c r="E133" s="720"/>
      <c r="F133" s="720"/>
      <c r="G133" s="720"/>
      <c r="H133" s="720"/>
      <c r="I133" s="720"/>
      <c r="J133" s="721"/>
      <c r="K133" s="702"/>
      <c r="L133" s="722"/>
      <c r="M133" s="723"/>
      <c r="N133" s="724"/>
      <c r="O133" s="835"/>
      <c r="P133" s="387"/>
    </row>
    <row r="134" spans="3:16" s="344" customFormat="1" ht="15.75" x14ac:dyDescent="0.25">
      <c r="C134" s="374" t="s">
        <v>50</v>
      </c>
      <c r="D134" s="725" t="s">
        <v>485</v>
      </c>
      <c r="E134" s="951" t="s">
        <v>486</v>
      </c>
      <c r="F134" s="951"/>
      <c r="G134" s="951"/>
      <c r="H134" s="951"/>
      <c r="I134" s="951"/>
      <c r="J134" s="951"/>
      <c r="K134" s="952"/>
      <c r="L134" s="682" t="s">
        <v>7</v>
      </c>
      <c r="M134" s="352">
        <v>1</v>
      </c>
      <c r="N134" s="378"/>
      <c r="O134" s="826">
        <f t="shared" ref="O134:O156" si="7">N134*M134</f>
        <v>0</v>
      </c>
      <c r="P134" s="387"/>
    </row>
    <row r="135" spans="3:16" s="344" customFormat="1" ht="15.75" x14ac:dyDescent="0.25">
      <c r="C135" s="372" t="s">
        <v>50</v>
      </c>
      <c r="D135" s="520" t="s">
        <v>487</v>
      </c>
      <c r="E135" s="951" t="s">
        <v>488</v>
      </c>
      <c r="F135" s="951"/>
      <c r="G135" s="951"/>
      <c r="H135" s="951"/>
      <c r="I135" s="951"/>
      <c r="J135" s="951"/>
      <c r="K135" s="952"/>
      <c r="L135" s="682" t="s">
        <v>7</v>
      </c>
      <c r="M135" s="352">
        <v>1</v>
      </c>
      <c r="N135" s="378"/>
      <c r="O135" s="826">
        <f t="shared" si="7"/>
        <v>0</v>
      </c>
      <c r="P135" s="387"/>
    </row>
    <row r="136" spans="3:16" s="344" customFormat="1" ht="15.75" x14ac:dyDescent="0.25">
      <c r="C136" s="372" t="s">
        <v>50</v>
      </c>
      <c r="D136" s="688" t="s">
        <v>489</v>
      </c>
      <c r="E136" s="951" t="s">
        <v>490</v>
      </c>
      <c r="F136" s="951"/>
      <c r="G136" s="951"/>
      <c r="H136" s="951"/>
      <c r="I136" s="951"/>
      <c r="J136" s="951"/>
      <c r="K136" s="952"/>
      <c r="L136" s="682" t="s">
        <v>7</v>
      </c>
      <c r="M136" s="352">
        <v>2</v>
      </c>
      <c r="N136" s="378"/>
      <c r="O136" s="826">
        <f t="shared" si="7"/>
        <v>0</v>
      </c>
      <c r="P136" s="387"/>
    </row>
    <row r="137" spans="3:16" s="344" customFormat="1" ht="15.75" x14ac:dyDescent="0.25">
      <c r="C137" s="372" t="s">
        <v>50</v>
      </c>
      <c r="D137" s="688" t="s">
        <v>491</v>
      </c>
      <c r="E137" s="951" t="s">
        <v>492</v>
      </c>
      <c r="F137" s="951"/>
      <c r="G137" s="951"/>
      <c r="H137" s="951"/>
      <c r="I137" s="951"/>
      <c r="J137" s="951"/>
      <c r="K137" s="952"/>
      <c r="L137" s="682" t="s">
        <v>7</v>
      </c>
      <c r="M137" s="352">
        <v>2</v>
      </c>
      <c r="N137" s="378"/>
      <c r="O137" s="826">
        <f t="shared" si="7"/>
        <v>0</v>
      </c>
      <c r="P137" s="387"/>
    </row>
    <row r="138" spans="3:16" s="344" customFormat="1" ht="15.75" x14ac:dyDescent="0.25">
      <c r="C138" s="372" t="s">
        <v>50</v>
      </c>
      <c r="D138" s="688" t="s">
        <v>493</v>
      </c>
      <c r="E138" s="951" t="s">
        <v>494</v>
      </c>
      <c r="F138" s="951"/>
      <c r="G138" s="951"/>
      <c r="H138" s="951"/>
      <c r="I138" s="951"/>
      <c r="J138" s="951"/>
      <c r="K138" s="952"/>
      <c r="L138" s="682" t="s">
        <v>7</v>
      </c>
      <c r="M138" s="352">
        <v>3</v>
      </c>
      <c r="N138" s="378"/>
      <c r="O138" s="826">
        <f t="shared" si="7"/>
        <v>0</v>
      </c>
      <c r="P138" s="387"/>
    </row>
    <row r="139" spans="3:16" s="344" customFormat="1" ht="15.75" x14ac:dyDescent="0.25">
      <c r="C139" s="373" t="s">
        <v>50</v>
      </c>
      <c r="D139" s="688" t="s">
        <v>495</v>
      </c>
      <c r="E139" s="951" t="s">
        <v>496</v>
      </c>
      <c r="F139" s="951"/>
      <c r="G139" s="951"/>
      <c r="H139" s="951"/>
      <c r="I139" s="951"/>
      <c r="J139" s="951"/>
      <c r="K139" s="952"/>
      <c r="L139" s="682" t="s">
        <v>7</v>
      </c>
      <c r="M139" s="352">
        <v>2</v>
      </c>
      <c r="N139" s="378"/>
      <c r="O139" s="826">
        <f t="shared" si="7"/>
        <v>0</v>
      </c>
      <c r="P139" s="387"/>
    </row>
    <row r="140" spans="3:16" s="344" customFormat="1" ht="15.75" x14ac:dyDescent="0.25">
      <c r="C140" s="355" t="s">
        <v>50</v>
      </c>
      <c r="D140" s="726" t="s">
        <v>497</v>
      </c>
      <c r="E140" s="951" t="s">
        <v>498</v>
      </c>
      <c r="F140" s="951"/>
      <c r="G140" s="951"/>
      <c r="H140" s="951"/>
      <c r="I140" s="951"/>
      <c r="J140" s="951"/>
      <c r="K140" s="952"/>
      <c r="L140" s="682" t="s">
        <v>7</v>
      </c>
      <c r="M140" s="352">
        <v>1</v>
      </c>
      <c r="N140" s="378"/>
      <c r="O140" s="826">
        <f t="shared" si="7"/>
        <v>0</v>
      </c>
      <c r="P140" s="387"/>
    </row>
    <row r="141" spans="3:16" s="344" customFormat="1" ht="15.75" x14ac:dyDescent="0.25">
      <c r="C141" s="694" t="s">
        <v>50</v>
      </c>
      <c r="D141" s="689" t="s">
        <v>497</v>
      </c>
      <c r="E141" s="951" t="s">
        <v>499</v>
      </c>
      <c r="F141" s="951"/>
      <c r="G141" s="951"/>
      <c r="H141" s="951"/>
      <c r="I141" s="951"/>
      <c r="J141" s="951"/>
      <c r="K141" s="952"/>
      <c r="L141" s="682" t="s">
        <v>7</v>
      </c>
      <c r="M141" s="352">
        <v>1</v>
      </c>
      <c r="N141" s="378"/>
      <c r="O141" s="826">
        <f t="shared" si="7"/>
        <v>0</v>
      </c>
      <c r="P141" s="387"/>
    </row>
    <row r="142" spans="3:16" s="344" customFormat="1" ht="15.75" x14ac:dyDescent="0.25">
      <c r="C142" s="694" t="s">
        <v>50</v>
      </c>
      <c r="D142" s="689" t="s">
        <v>500</v>
      </c>
      <c r="E142" s="951" t="s">
        <v>501</v>
      </c>
      <c r="F142" s="951"/>
      <c r="G142" s="951"/>
      <c r="H142" s="951"/>
      <c r="I142" s="951"/>
      <c r="J142" s="951"/>
      <c r="K142" s="952"/>
      <c r="L142" s="682" t="s">
        <v>7</v>
      </c>
      <c r="M142" s="352">
        <v>1</v>
      </c>
      <c r="N142" s="378"/>
      <c r="O142" s="826">
        <f t="shared" si="7"/>
        <v>0</v>
      </c>
      <c r="P142" s="387"/>
    </row>
    <row r="143" spans="3:16" s="344" customFormat="1" ht="15.75" x14ac:dyDescent="0.25">
      <c r="C143" s="694" t="s">
        <v>50</v>
      </c>
      <c r="D143" s="689" t="s">
        <v>152</v>
      </c>
      <c r="E143" s="951" t="s">
        <v>502</v>
      </c>
      <c r="F143" s="951"/>
      <c r="G143" s="951"/>
      <c r="H143" s="951"/>
      <c r="I143" s="951"/>
      <c r="J143" s="951"/>
      <c r="K143" s="952"/>
      <c r="L143" s="682" t="s">
        <v>7</v>
      </c>
      <c r="M143" s="352">
        <v>2</v>
      </c>
      <c r="N143" s="378"/>
      <c r="O143" s="826">
        <f t="shared" si="7"/>
        <v>0</v>
      </c>
      <c r="P143" s="387"/>
    </row>
    <row r="144" spans="3:16" s="344" customFormat="1" ht="15.75" x14ac:dyDescent="0.25">
      <c r="C144" s="694" t="s">
        <v>50</v>
      </c>
      <c r="D144" s="689" t="s">
        <v>152</v>
      </c>
      <c r="E144" s="951" t="s">
        <v>503</v>
      </c>
      <c r="F144" s="951"/>
      <c r="G144" s="951"/>
      <c r="H144" s="951"/>
      <c r="I144" s="951"/>
      <c r="J144" s="951"/>
      <c r="K144" s="952"/>
      <c r="L144" s="682" t="s">
        <v>7</v>
      </c>
      <c r="M144" s="352">
        <v>2</v>
      </c>
      <c r="N144" s="378"/>
      <c r="O144" s="826">
        <f t="shared" si="7"/>
        <v>0</v>
      </c>
      <c r="P144" s="387"/>
    </row>
    <row r="145" spans="3:16" s="344" customFormat="1" ht="15.75" x14ac:dyDescent="0.25">
      <c r="C145" s="694" t="s">
        <v>50</v>
      </c>
      <c r="D145" s="689" t="s">
        <v>504</v>
      </c>
      <c r="E145" s="951" t="s">
        <v>505</v>
      </c>
      <c r="F145" s="951"/>
      <c r="G145" s="951"/>
      <c r="H145" s="951"/>
      <c r="I145" s="951"/>
      <c r="J145" s="951"/>
      <c r="K145" s="952"/>
      <c r="L145" s="682" t="s">
        <v>7</v>
      </c>
      <c r="M145" s="352">
        <v>2</v>
      </c>
      <c r="N145" s="378"/>
      <c r="O145" s="826">
        <f t="shared" si="7"/>
        <v>0</v>
      </c>
      <c r="P145" s="387"/>
    </row>
    <row r="146" spans="3:16" s="344" customFormat="1" ht="15.75" x14ac:dyDescent="0.25">
      <c r="C146" s="694" t="s">
        <v>50</v>
      </c>
      <c r="D146" s="689" t="s">
        <v>500</v>
      </c>
      <c r="E146" s="951" t="s">
        <v>506</v>
      </c>
      <c r="F146" s="951"/>
      <c r="G146" s="951"/>
      <c r="H146" s="951"/>
      <c r="I146" s="951"/>
      <c r="J146" s="951"/>
      <c r="K146" s="952"/>
      <c r="L146" s="682" t="s">
        <v>7</v>
      </c>
      <c r="M146" s="352">
        <v>2</v>
      </c>
      <c r="N146" s="378"/>
      <c r="O146" s="826">
        <f t="shared" si="7"/>
        <v>0</v>
      </c>
      <c r="P146" s="387"/>
    </row>
    <row r="147" spans="3:16" s="344" customFormat="1" ht="15.75" x14ac:dyDescent="0.25">
      <c r="C147" s="694" t="s">
        <v>50</v>
      </c>
      <c r="D147" s="689" t="s">
        <v>507</v>
      </c>
      <c r="E147" s="951" t="s">
        <v>508</v>
      </c>
      <c r="F147" s="951"/>
      <c r="G147" s="951"/>
      <c r="H147" s="951"/>
      <c r="I147" s="951"/>
      <c r="J147" s="951"/>
      <c r="K147" s="952"/>
      <c r="L147" s="682" t="s">
        <v>7</v>
      </c>
      <c r="M147" s="352">
        <v>5</v>
      </c>
      <c r="N147" s="378"/>
      <c r="O147" s="826">
        <f t="shared" si="7"/>
        <v>0</v>
      </c>
      <c r="P147" s="387"/>
    </row>
    <row r="148" spans="3:16" s="344" customFormat="1" ht="15.75" x14ac:dyDescent="0.25">
      <c r="C148" s="376" t="s">
        <v>50</v>
      </c>
      <c r="D148" s="727" t="s">
        <v>507</v>
      </c>
      <c r="E148" s="951" t="s">
        <v>509</v>
      </c>
      <c r="F148" s="951"/>
      <c r="G148" s="951"/>
      <c r="H148" s="951"/>
      <c r="I148" s="951"/>
      <c r="J148" s="951"/>
      <c r="K148" s="952"/>
      <c r="L148" s="682" t="s">
        <v>7</v>
      </c>
      <c r="M148" s="352">
        <v>2</v>
      </c>
      <c r="N148" s="378"/>
      <c r="O148" s="826">
        <f t="shared" si="7"/>
        <v>0</v>
      </c>
      <c r="P148" s="387"/>
    </row>
    <row r="149" spans="3:16" s="344" customFormat="1" ht="15.75" x14ac:dyDescent="0.25">
      <c r="C149" s="694" t="s">
        <v>50</v>
      </c>
      <c r="D149" s="689" t="s">
        <v>510</v>
      </c>
      <c r="E149" s="951" t="s">
        <v>511</v>
      </c>
      <c r="F149" s="951"/>
      <c r="G149" s="951"/>
      <c r="H149" s="951"/>
      <c r="I149" s="951"/>
      <c r="J149" s="951"/>
      <c r="K149" s="952"/>
      <c r="L149" s="682" t="s">
        <v>7</v>
      </c>
      <c r="M149" s="352">
        <v>1</v>
      </c>
      <c r="N149" s="378"/>
      <c r="O149" s="826">
        <f t="shared" si="7"/>
        <v>0</v>
      </c>
      <c r="P149" s="387"/>
    </row>
    <row r="150" spans="3:16" s="344" customFormat="1" ht="15.75" x14ac:dyDescent="0.25">
      <c r="C150" s="377" t="s">
        <v>50</v>
      </c>
      <c r="D150" s="688" t="s">
        <v>507</v>
      </c>
      <c r="E150" s="951" t="s">
        <v>512</v>
      </c>
      <c r="F150" s="951"/>
      <c r="G150" s="951"/>
      <c r="H150" s="951"/>
      <c r="I150" s="951"/>
      <c r="J150" s="951"/>
      <c r="K150" s="952"/>
      <c r="L150" s="682" t="s">
        <v>7</v>
      </c>
      <c r="M150" s="352">
        <v>1</v>
      </c>
      <c r="N150" s="378"/>
      <c r="O150" s="826">
        <f t="shared" si="7"/>
        <v>0</v>
      </c>
      <c r="P150" s="387"/>
    </row>
    <row r="151" spans="3:16" s="344" customFormat="1" ht="15.75" x14ac:dyDescent="0.25">
      <c r="C151" s="377" t="s">
        <v>50</v>
      </c>
      <c r="D151" s="689" t="s">
        <v>510</v>
      </c>
      <c r="E151" s="951" t="s">
        <v>513</v>
      </c>
      <c r="F151" s="951"/>
      <c r="G151" s="951"/>
      <c r="H151" s="951"/>
      <c r="I151" s="951"/>
      <c r="J151" s="951"/>
      <c r="K151" s="952"/>
      <c r="L151" s="682" t="s">
        <v>7</v>
      </c>
      <c r="M151" s="352">
        <v>4</v>
      </c>
      <c r="N151" s="378"/>
      <c r="O151" s="826">
        <f t="shared" si="7"/>
        <v>0</v>
      </c>
      <c r="P151" s="387"/>
    </row>
    <row r="152" spans="3:16" s="344" customFormat="1" ht="15.75" x14ac:dyDescent="0.25">
      <c r="C152" s="377" t="s">
        <v>50</v>
      </c>
      <c r="D152" s="689" t="s">
        <v>507</v>
      </c>
      <c r="E152" s="951" t="s">
        <v>514</v>
      </c>
      <c r="F152" s="951"/>
      <c r="G152" s="951"/>
      <c r="H152" s="951"/>
      <c r="I152" s="951"/>
      <c r="J152" s="951"/>
      <c r="K152" s="952"/>
      <c r="L152" s="682" t="s">
        <v>7</v>
      </c>
      <c r="M152" s="352">
        <v>7</v>
      </c>
      <c r="N152" s="378"/>
      <c r="O152" s="826">
        <f t="shared" si="7"/>
        <v>0</v>
      </c>
      <c r="P152" s="387"/>
    </row>
    <row r="153" spans="3:16" s="344" customFormat="1" ht="15.75" x14ac:dyDescent="0.25">
      <c r="C153" s="377" t="s">
        <v>50</v>
      </c>
      <c r="D153" s="689" t="s">
        <v>515</v>
      </c>
      <c r="E153" s="951" t="s">
        <v>516</v>
      </c>
      <c r="F153" s="951"/>
      <c r="G153" s="951"/>
      <c r="H153" s="951"/>
      <c r="I153" s="951"/>
      <c r="J153" s="951"/>
      <c r="K153" s="952"/>
      <c r="L153" s="682" t="s">
        <v>7</v>
      </c>
      <c r="M153" s="352">
        <v>1</v>
      </c>
      <c r="N153" s="378"/>
      <c r="O153" s="826">
        <f t="shared" si="7"/>
        <v>0</v>
      </c>
      <c r="P153" s="387"/>
    </row>
    <row r="154" spans="3:16" s="344" customFormat="1" ht="15.75" x14ac:dyDescent="0.25">
      <c r="C154" s="377" t="s">
        <v>50</v>
      </c>
      <c r="D154" s="689" t="s">
        <v>510</v>
      </c>
      <c r="E154" s="951" t="s">
        <v>517</v>
      </c>
      <c r="F154" s="951"/>
      <c r="G154" s="951"/>
      <c r="H154" s="951"/>
      <c r="I154" s="951"/>
      <c r="J154" s="951"/>
      <c r="K154" s="952"/>
      <c r="L154" s="682" t="s">
        <v>7</v>
      </c>
      <c r="M154" s="352">
        <v>2</v>
      </c>
      <c r="N154" s="378"/>
      <c r="O154" s="826">
        <f t="shared" si="7"/>
        <v>0</v>
      </c>
      <c r="P154" s="387"/>
    </row>
    <row r="155" spans="3:16" s="344" customFormat="1" ht="15.75" x14ac:dyDescent="0.25">
      <c r="C155" s="377" t="s">
        <v>50</v>
      </c>
      <c r="D155" s="689" t="s">
        <v>510</v>
      </c>
      <c r="E155" s="951" t="s">
        <v>518</v>
      </c>
      <c r="F155" s="951"/>
      <c r="G155" s="951"/>
      <c r="H155" s="951"/>
      <c r="I155" s="951"/>
      <c r="J155" s="951"/>
      <c r="K155" s="952"/>
      <c r="L155" s="682" t="s">
        <v>7</v>
      </c>
      <c r="M155" s="352">
        <v>1</v>
      </c>
      <c r="N155" s="378"/>
      <c r="O155" s="826">
        <f t="shared" si="7"/>
        <v>0</v>
      </c>
      <c r="P155" s="387"/>
    </row>
    <row r="156" spans="3:16" s="344" customFormat="1" ht="15.75" x14ac:dyDescent="0.25">
      <c r="C156" s="377" t="s">
        <v>714</v>
      </c>
      <c r="D156" s="913" t="s">
        <v>225</v>
      </c>
      <c r="E156" s="947" t="s">
        <v>226</v>
      </c>
      <c r="F156" s="947"/>
      <c r="G156" s="947"/>
      <c r="H156" s="947"/>
      <c r="I156" s="947"/>
      <c r="J156" s="947"/>
      <c r="K156" s="949"/>
      <c r="L156" s="682" t="s">
        <v>7</v>
      </c>
      <c r="M156" s="352">
        <v>15</v>
      </c>
      <c r="N156" s="378"/>
      <c r="O156" s="826">
        <f t="shared" si="7"/>
        <v>0</v>
      </c>
      <c r="P156" s="387"/>
    </row>
    <row r="157" spans="3:16" s="344" customFormat="1" ht="15.75" x14ac:dyDescent="0.25">
      <c r="C157" s="377" t="s">
        <v>714</v>
      </c>
      <c r="D157" s="691" t="s">
        <v>479</v>
      </c>
      <c r="E157" s="947" t="s">
        <v>480</v>
      </c>
      <c r="F157" s="947"/>
      <c r="G157" s="947"/>
      <c r="H157" s="947"/>
      <c r="I157" s="947"/>
      <c r="J157" s="947"/>
      <c r="K157" s="949"/>
      <c r="L157" s="682" t="s">
        <v>42</v>
      </c>
      <c r="M157" s="352">
        <v>12</v>
      </c>
      <c r="N157" s="378"/>
      <c r="O157" s="826">
        <f t="shared" ref="O157:O174" si="8">N157*M157</f>
        <v>0</v>
      </c>
      <c r="P157" s="387"/>
    </row>
    <row r="158" spans="3:16" s="344" customFormat="1" ht="15.75" x14ac:dyDescent="0.25">
      <c r="C158" s="377" t="s">
        <v>714</v>
      </c>
      <c r="D158" s="920" t="s">
        <v>298</v>
      </c>
      <c r="E158" s="947" t="s">
        <v>299</v>
      </c>
      <c r="F158" s="947"/>
      <c r="G158" s="947"/>
      <c r="H158" s="947"/>
      <c r="I158" s="947"/>
      <c r="J158" s="947"/>
      <c r="K158" s="949"/>
      <c r="L158" s="682" t="s">
        <v>8</v>
      </c>
      <c r="M158" s="352">
        <v>18</v>
      </c>
      <c r="N158" s="353"/>
      <c r="O158" s="836">
        <f t="shared" si="8"/>
        <v>0</v>
      </c>
      <c r="P158" s="387"/>
    </row>
    <row r="159" spans="3:16" s="344" customFormat="1" ht="15.75" x14ac:dyDescent="0.25">
      <c r="C159" s="377" t="s">
        <v>714</v>
      </c>
      <c r="D159" s="920" t="s">
        <v>349</v>
      </c>
      <c r="E159" s="947" t="s">
        <v>350</v>
      </c>
      <c r="F159" s="947"/>
      <c r="G159" s="947"/>
      <c r="H159" s="947"/>
      <c r="I159" s="947"/>
      <c r="J159" s="947"/>
      <c r="K159" s="949"/>
      <c r="L159" s="682" t="s">
        <v>8</v>
      </c>
      <c r="M159" s="352">
        <v>10</v>
      </c>
      <c r="N159" s="353"/>
      <c r="O159" s="836">
        <f t="shared" si="8"/>
        <v>0</v>
      </c>
      <c r="P159" s="387"/>
    </row>
    <row r="160" spans="3:16" s="344" customFormat="1" ht="15.75" x14ac:dyDescent="0.25">
      <c r="C160" s="377" t="s">
        <v>714</v>
      </c>
      <c r="D160" s="920" t="s">
        <v>394</v>
      </c>
      <c r="E160" s="947" t="s">
        <v>396</v>
      </c>
      <c r="F160" s="947"/>
      <c r="G160" s="947"/>
      <c r="H160" s="947"/>
      <c r="I160" s="947"/>
      <c r="J160" s="947"/>
      <c r="K160" s="949"/>
      <c r="L160" s="682" t="s">
        <v>8</v>
      </c>
      <c r="M160" s="352">
        <v>9</v>
      </c>
      <c r="N160" s="353"/>
      <c r="O160" s="836">
        <f t="shared" si="8"/>
        <v>0</v>
      </c>
      <c r="P160" s="387"/>
    </row>
    <row r="161" spans="1:113" s="344" customFormat="1" ht="15.75" x14ac:dyDescent="0.25">
      <c r="C161" s="377" t="s">
        <v>714</v>
      </c>
      <c r="D161" s="920" t="s">
        <v>395</v>
      </c>
      <c r="E161" s="947" t="s">
        <v>397</v>
      </c>
      <c r="F161" s="947"/>
      <c r="G161" s="947"/>
      <c r="H161" s="947"/>
      <c r="I161" s="947"/>
      <c r="J161" s="947"/>
      <c r="K161" s="949"/>
      <c r="L161" s="682" t="s">
        <v>8</v>
      </c>
      <c r="M161" s="352">
        <v>9</v>
      </c>
      <c r="N161" s="353"/>
      <c r="O161" s="836">
        <f t="shared" si="8"/>
        <v>0</v>
      </c>
      <c r="P161" s="387"/>
    </row>
    <row r="162" spans="1:113" s="344" customFormat="1" ht="15.75" x14ac:dyDescent="0.25">
      <c r="C162" s="377" t="s">
        <v>714</v>
      </c>
      <c r="D162" s="920" t="s">
        <v>392</v>
      </c>
      <c r="E162" s="947" t="s">
        <v>393</v>
      </c>
      <c r="F162" s="947"/>
      <c r="G162" s="947"/>
      <c r="H162" s="947"/>
      <c r="I162" s="947"/>
      <c r="J162" s="947"/>
      <c r="K162" s="949"/>
      <c r="L162" s="682" t="s">
        <v>8</v>
      </c>
      <c r="M162" s="352">
        <v>175</v>
      </c>
      <c r="N162" s="353"/>
      <c r="O162" s="836">
        <f t="shared" si="8"/>
        <v>0</v>
      </c>
      <c r="P162" s="387"/>
    </row>
    <row r="163" spans="1:113" s="344" customFormat="1" ht="15.75" x14ac:dyDescent="0.25">
      <c r="C163" s="377" t="s">
        <v>714</v>
      </c>
      <c r="D163" s="920" t="s">
        <v>163</v>
      </c>
      <c r="E163" s="947" t="s">
        <v>162</v>
      </c>
      <c r="F163" s="947"/>
      <c r="G163" s="947"/>
      <c r="H163" s="947"/>
      <c r="I163" s="947"/>
      <c r="J163" s="947"/>
      <c r="K163" s="949"/>
      <c r="L163" s="682" t="s">
        <v>8</v>
      </c>
      <c r="M163" s="352">
        <v>81</v>
      </c>
      <c r="N163" s="353"/>
      <c r="O163" s="836">
        <f t="shared" si="8"/>
        <v>0</v>
      </c>
      <c r="P163" s="387"/>
    </row>
    <row r="164" spans="1:113" s="344" customFormat="1" ht="15.75" x14ac:dyDescent="0.25">
      <c r="C164" s="377" t="s">
        <v>714</v>
      </c>
      <c r="D164" s="913" t="s">
        <v>301</v>
      </c>
      <c r="E164" s="947" t="s">
        <v>302</v>
      </c>
      <c r="F164" s="947"/>
      <c r="G164" s="947"/>
      <c r="H164" s="947"/>
      <c r="I164" s="947"/>
      <c r="J164" s="947"/>
      <c r="K164" s="949"/>
      <c r="L164" s="682" t="s">
        <v>7</v>
      </c>
      <c r="M164" s="352">
        <v>11</v>
      </c>
      <c r="N164" s="353"/>
      <c r="O164" s="836">
        <f t="shared" si="8"/>
        <v>0</v>
      </c>
      <c r="P164" s="387"/>
    </row>
    <row r="165" spans="1:113" s="344" customFormat="1" ht="15.75" x14ac:dyDescent="0.25">
      <c r="C165" s="377" t="s">
        <v>714</v>
      </c>
      <c r="D165" s="913" t="s">
        <v>246</v>
      </c>
      <c r="E165" s="947" t="s">
        <v>247</v>
      </c>
      <c r="F165" s="947"/>
      <c r="G165" s="947"/>
      <c r="H165" s="947"/>
      <c r="I165" s="947"/>
      <c r="J165" s="947"/>
      <c r="K165" s="949"/>
      <c r="L165" s="682" t="s">
        <v>8</v>
      </c>
      <c r="M165" s="352">
        <v>130</v>
      </c>
      <c r="N165" s="378"/>
      <c r="O165" s="837">
        <f t="shared" si="8"/>
        <v>0</v>
      </c>
      <c r="P165" s="387"/>
    </row>
    <row r="166" spans="1:113" s="344" customFormat="1" ht="15.75" x14ac:dyDescent="0.25">
      <c r="C166" s="377" t="s">
        <v>714</v>
      </c>
      <c r="D166" s="920" t="s">
        <v>438</v>
      </c>
      <c r="E166" s="947" t="s">
        <v>439</v>
      </c>
      <c r="F166" s="947"/>
      <c r="G166" s="947"/>
      <c r="H166" s="947"/>
      <c r="I166" s="947"/>
      <c r="J166" s="947"/>
      <c r="K166" s="949"/>
      <c r="L166" s="682" t="s">
        <v>7</v>
      </c>
      <c r="M166" s="352">
        <v>20</v>
      </c>
      <c r="N166" s="378"/>
      <c r="O166" s="837">
        <f t="shared" si="8"/>
        <v>0</v>
      </c>
      <c r="P166" s="387"/>
    </row>
    <row r="167" spans="1:113" s="344" customFormat="1" ht="15.75" x14ac:dyDescent="0.25">
      <c r="C167" s="377" t="s">
        <v>714</v>
      </c>
      <c r="D167" s="920" t="s">
        <v>440</v>
      </c>
      <c r="E167" s="947" t="s">
        <v>441</v>
      </c>
      <c r="F167" s="947"/>
      <c r="G167" s="947"/>
      <c r="H167" s="947"/>
      <c r="I167" s="947"/>
      <c r="J167" s="947"/>
      <c r="K167" s="949"/>
      <c r="L167" s="682" t="s">
        <v>7</v>
      </c>
      <c r="M167" s="352">
        <v>19</v>
      </c>
      <c r="N167" s="378"/>
      <c r="O167" s="837">
        <f t="shared" si="8"/>
        <v>0</v>
      </c>
      <c r="P167" s="387"/>
    </row>
    <row r="168" spans="1:113" s="344" customFormat="1" ht="15.75" x14ac:dyDescent="0.25">
      <c r="C168" s="377" t="s">
        <v>714</v>
      </c>
      <c r="D168" s="913" t="s">
        <v>68</v>
      </c>
      <c r="E168" s="947" t="s">
        <v>69</v>
      </c>
      <c r="F168" s="947"/>
      <c r="G168" s="947"/>
      <c r="H168" s="947"/>
      <c r="I168" s="947"/>
      <c r="J168" s="947"/>
      <c r="K168" s="949"/>
      <c r="L168" s="682" t="s">
        <v>7</v>
      </c>
      <c r="M168" s="352">
        <v>2</v>
      </c>
      <c r="N168" s="378"/>
      <c r="O168" s="837">
        <f t="shared" si="8"/>
        <v>0</v>
      </c>
      <c r="P168" s="387"/>
    </row>
    <row r="169" spans="1:113" s="344" customFormat="1" ht="15.75" x14ac:dyDescent="0.25">
      <c r="C169" s="377" t="s">
        <v>714</v>
      </c>
      <c r="D169" s="913" t="s">
        <v>70</v>
      </c>
      <c r="E169" s="947" t="s">
        <v>71</v>
      </c>
      <c r="F169" s="947"/>
      <c r="G169" s="947"/>
      <c r="H169" s="947"/>
      <c r="I169" s="947"/>
      <c r="J169" s="947"/>
      <c r="K169" s="949"/>
      <c r="L169" s="682" t="s">
        <v>8</v>
      </c>
      <c r="M169" s="352">
        <v>90</v>
      </c>
      <c r="N169" s="378"/>
      <c r="O169" s="837">
        <f t="shared" si="8"/>
        <v>0</v>
      </c>
      <c r="P169" s="387"/>
    </row>
    <row r="170" spans="1:113" s="344" customFormat="1" ht="15.75" x14ac:dyDescent="0.25">
      <c r="C170" s="345" t="s">
        <v>715</v>
      </c>
      <c r="D170" s="601" t="s">
        <v>229</v>
      </c>
      <c r="E170" s="947" t="s">
        <v>230</v>
      </c>
      <c r="F170" s="947"/>
      <c r="G170" s="947"/>
      <c r="H170" s="947"/>
      <c r="I170" s="947"/>
      <c r="J170" s="947"/>
      <c r="K170" s="949"/>
      <c r="L170" s="682" t="s">
        <v>7</v>
      </c>
      <c r="M170" s="352">
        <v>10</v>
      </c>
      <c r="N170" s="378"/>
      <c r="O170" s="837">
        <f t="shared" si="8"/>
        <v>0</v>
      </c>
      <c r="P170" s="387"/>
    </row>
    <row r="171" spans="1:113" s="344" customFormat="1" ht="15.75" x14ac:dyDescent="0.25">
      <c r="C171" s="345" t="s">
        <v>714</v>
      </c>
      <c r="D171" s="601" t="s">
        <v>252</v>
      </c>
      <c r="E171" s="947" t="s">
        <v>251</v>
      </c>
      <c r="F171" s="947"/>
      <c r="G171" s="947"/>
      <c r="H171" s="947"/>
      <c r="I171" s="947"/>
      <c r="J171" s="947"/>
      <c r="K171" s="949"/>
      <c r="L171" s="682" t="s">
        <v>8</v>
      </c>
      <c r="M171" s="352">
        <v>22</v>
      </c>
      <c r="N171" s="378"/>
      <c r="O171" s="837">
        <f t="shared" si="8"/>
        <v>0</v>
      </c>
      <c r="P171" s="387"/>
    </row>
    <row r="172" spans="1:113" s="344" customFormat="1" ht="15.75" x14ac:dyDescent="0.25">
      <c r="C172" s="345" t="s">
        <v>714</v>
      </c>
      <c r="D172" s="383" t="s">
        <v>523</v>
      </c>
      <c r="E172" s="947" t="s">
        <v>524</v>
      </c>
      <c r="F172" s="947"/>
      <c r="G172" s="947"/>
      <c r="H172" s="947"/>
      <c r="I172" s="947"/>
      <c r="J172" s="947"/>
      <c r="K172" s="949"/>
      <c r="L172" s="682" t="s">
        <v>6</v>
      </c>
      <c r="M172" s="352">
        <v>11.33</v>
      </c>
      <c r="N172" s="378"/>
      <c r="O172" s="837">
        <f t="shared" si="8"/>
        <v>0</v>
      </c>
      <c r="P172" s="387"/>
    </row>
    <row r="173" spans="1:113" s="344" customFormat="1" ht="14.45" customHeight="1" x14ac:dyDescent="0.25">
      <c r="C173" s="345" t="s">
        <v>714</v>
      </c>
      <c r="D173" s="601" t="s">
        <v>73</v>
      </c>
      <c r="E173" s="947" t="s">
        <v>74</v>
      </c>
      <c r="F173" s="947"/>
      <c r="G173" s="947"/>
      <c r="H173" s="947"/>
      <c r="I173" s="947"/>
      <c r="J173" s="947"/>
      <c r="K173" s="949"/>
      <c r="L173" s="682" t="s">
        <v>5</v>
      </c>
      <c r="M173" s="352">
        <v>307.44</v>
      </c>
      <c r="N173" s="353"/>
      <c r="O173" s="836">
        <f t="shared" si="8"/>
        <v>0</v>
      </c>
      <c r="P173" s="387"/>
    </row>
    <row r="174" spans="1:113" s="344" customFormat="1" ht="16.149999999999999" customHeight="1" x14ac:dyDescent="0.25">
      <c r="C174" s="815" t="s">
        <v>714</v>
      </c>
      <c r="D174" s="525" t="s">
        <v>740</v>
      </c>
      <c r="E174" s="983" t="s">
        <v>741</v>
      </c>
      <c r="F174" s="983"/>
      <c r="G174" s="983"/>
      <c r="H174" s="983"/>
      <c r="I174" s="983"/>
      <c r="J174" s="983"/>
      <c r="K174" s="984"/>
      <c r="L174" s="526" t="s">
        <v>5</v>
      </c>
      <c r="M174" s="527">
        <v>26.64</v>
      </c>
      <c r="N174" s="528"/>
      <c r="O174" s="816">
        <f t="shared" si="8"/>
        <v>0</v>
      </c>
      <c r="P174" s="387"/>
    </row>
    <row r="175" spans="1:113" s="344" customFormat="1" ht="16.149999999999999" customHeight="1" thickBot="1" x14ac:dyDescent="0.3">
      <c r="C175" s="838" t="s">
        <v>714</v>
      </c>
      <c r="D175" s="525" t="s">
        <v>742</v>
      </c>
      <c r="E175" s="983" t="s">
        <v>743</v>
      </c>
      <c r="F175" s="983"/>
      <c r="G175" s="983"/>
      <c r="H175" s="983"/>
      <c r="I175" s="983"/>
      <c r="J175" s="983"/>
      <c r="K175" s="984"/>
      <c r="L175" s="526" t="s">
        <v>5</v>
      </c>
      <c r="M175" s="527">
        <v>26.64</v>
      </c>
      <c r="N175" s="602"/>
      <c r="O175" s="839">
        <f>M175*N175</f>
        <v>0</v>
      </c>
      <c r="P175" s="936"/>
    </row>
    <row r="176" spans="1:113" s="3" customFormat="1" ht="16.5" thickBot="1" x14ac:dyDescent="0.3">
      <c r="A176"/>
      <c r="B176"/>
      <c r="C176" s="401"/>
      <c r="D176" s="402" t="s">
        <v>1</v>
      </c>
      <c r="E176" s="975" t="s">
        <v>713</v>
      </c>
      <c r="F176" s="975"/>
      <c r="G176" s="975"/>
      <c r="H176" s="975"/>
      <c r="I176" s="975"/>
      <c r="J176" s="975"/>
      <c r="K176" s="692"/>
      <c r="L176" s="403"/>
      <c r="M176" s="404"/>
      <c r="N176" s="405"/>
      <c r="O176" s="406"/>
      <c r="P176" s="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row>
    <row r="177" spans="1:113" s="4" customFormat="1" ht="16.5" thickBot="1" x14ac:dyDescent="0.3">
      <c r="A177"/>
      <c r="B177"/>
      <c r="C177" s="416"/>
      <c r="D177" s="1025" t="s">
        <v>55</v>
      </c>
      <c r="E177" s="1025"/>
      <c r="F177" s="1025"/>
      <c r="G177" s="1025"/>
      <c r="H177" s="1025"/>
      <c r="I177" s="1025"/>
      <c r="J177" s="1025"/>
      <c r="K177" s="1025"/>
      <c r="L177" s="417"/>
      <c r="M177" s="418"/>
      <c r="N177" s="419"/>
      <c r="O177" s="420"/>
      <c r="P177" s="6"/>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row>
    <row r="178" spans="1:113" s="344" customFormat="1" ht="16.5" thickBot="1" x14ac:dyDescent="0.3">
      <c r="C178" s="393"/>
      <c r="D178" s="421"/>
      <c r="E178" s="422"/>
      <c r="F178" s="422"/>
      <c r="G178" s="422"/>
      <c r="H178" s="422"/>
      <c r="I178" s="422"/>
      <c r="J178" s="422"/>
      <c r="K178" s="422"/>
      <c r="L178" s="421"/>
      <c r="M178" s="397"/>
      <c r="N178" s="398"/>
      <c r="O178" s="399"/>
      <c r="P178" s="387"/>
    </row>
    <row r="179" spans="1:113" s="344" customFormat="1" ht="15.75" x14ac:dyDescent="0.25">
      <c r="C179" s="369" t="s">
        <v>714</v>
      </c>
      <c r="D179" s="916" t="s">
        <v>73</v>
      </c>
      <c r="E179" s="992" t="s">
        <v>74</v>
      </c>
      <c r="F179" s="993"/>
      <c r="G179" s="993"/>
      <c r="H179" s="993"/>
      <c r="I179" s="993"/>
      <c r="J179" s="993"/>
      <c r="K179" s="993"/>
      <c r="L179" s="746" t="s">
        <v>5</v>
      </c>
      <c r="M179" s="413">
        <v>266.05</v>
      </c>
      <c r="N179" s="918"/>
      <c r="O179" s="796">
        <f>N179*M179</f>
        <v>0</v>
      </c>
      <c r="P179" s="387"/>
    </row>
    <row r="180" spans="1:113" s="344" customFormat="1" ht="15.75" x14ac:dyDescent="0.25">
      <c r="C180" s="374" t="s">
        <v>714</v>
      </c>
      <c r="D180" s="921" t="s">
        <v>298</v>
      </c>
      <c r="E180" s="973" t="s">
        <v>299</v>
      </c>
      <c r="F180" s="973"/>
      <c r="G180" s="973"/>
      <c r="H180" s="973"/>
      <c r="I180" s="973"/>
      <c r="J180" s="973"/>
      <c r="K180" s="974"/>
      <c r="L180" s="682" t="s">
        <v>8</v>
      </c>
      <c r="M180" s="352">
        <v>91.55</v>
      </c>
      <c r="N180" s="353"/>
      <c r="O180" s="797">
        <f t="shared" ref="O180:O188" si="9">N180*M180</f>
        <v>0</v>
      </c>
      <c r="P180" s="387"/>
    </row>
    <row r="181" spans="1:113" s="344" customFormat="1" ht="15.75" x14ac:dyDescent="0.25">
      <c r="C181" s="374" t="s">
        <v>714</v>
      </c>
      <c r="D181" s="922" t="s">
        <v>438</v>
      </c>
      <c r="E181" s="973" t="s">
        <v>439</v>
      </c>
      <c r="F181" s="973"/>
      <c r="G181" s="973"/>
      <c r="H181" s="973"/>
      <c r="I181" s="973"/>
      <c r="J181" s="973"/>
      <c r="K181" s="974"/>
      <c r="L181" s="682" t="s">
        <v>7</v>
      </c>
      <c r="M181" s="352">
        <v>16</v>
      </c>
      <c r="N181" s="353"/>
      <c r="O181" s="797">
        <f t="shared" si="9"/>
        <v>0</v>
      </c>
      <c r="P181" s="387"/>
    </row>
    <row r="182" spans="1:113" s="344" customFormat="1" ht="15.75" x14ac:dyDescent="0.25">
      <c r="C182" s="374" t="s">
        <v>714</v>
      </c>
      <c r="D182" s="922" t="s">
        <v>440</v>
      </c>
      <c r="E182" s="973" t="s">
        <v>441</v>
      </c>
      <c r="F182" s="973"/>
      <c r="G182" s="973"/>
      <c r="H182" s="973"/>
      <c r="I182" s="973"/>
      <c r="J182" s="973"/>
      <c r="K182" s="974"/>
      <c r="L182" s="682" t="s">
        <v>7</v>
      </c>
      <c r="M182" s="352">
        <v>17</v>
      </c>
      <c r="N182" s="353"/>
      <c r="O182" s="797">
        <f t="shared" si="9"/>
        <v>0</v>
      </c>
      <c r="P182" s="387"/>
    </row>
    <row r="183" spans="1:113" s="344" customFormat="1" ht="15.75" x14ac:dyDescent="0.25">
      <c r="C183" s="374" t="s">
        <v>714</v>
      </c>
      <c r="D183" s="922" t="s">
        <v>444</v>
      </c>
      <c r="E183" s="973" t="s">
        <v>445</v>
      </c>
      <c r="F183" s="973"/>
      <c r="G183" s="973"/>
      <c r="H183" s="973"/>
      <c r="I183" s="973"/>
      <c r="J183" s="973"/>
      <c r="K183" s="974"/>
      <c r="L183" s="682" t="s">
        <v>7</v>
      </c>
      <c r="M183" s="352">
        <v>3</v>
      </c>
      <c r="N183" s="353"/>
      <c r="O183" s="797">
        <f t="shared" si="9"/>
        <v>0</v>
      </c>
      <c r="P183" s="387"/>
    </row>
    <row r="184" spans="1:113" s="344" customFormat="1" ht="15.75" x14ac:dyDescent="0.25">
      <c r="C184" s="374" t="s">
        <v>714</v>
      </c>
      <c r="D184" s="922" t="s">
        <v>353</v>
      </c>
      <c r="E184" s="949" t="s">
        <v>352</v>
      </c>
      <c r="F184" s="987"/>
      <c r="G184" s="987"/>
      <c r="H184" s="987"/>
      <c r="I184" s="987"/>
      <c r="J184" s="987"/>
      <c r="K184" s="987"/>
      <c r="L184" s="682" t="s">
        <v>7</v>
      </c>
      <c r="M184" s="352">
        <v>1</v>
      </c>
      <c r="N184" s="353"/>
      <c r="O184" s="797">
        <f t="shared" si="9"/>
        <v>0</v>
      </c>
      <c r="P184" s="387"/>
    </row>
    <row r="185" spans="1:113" s="344" customFormat="1" ht="15.75" x14ac:dyDescent="0.25">
      <c r="C185" s="374" t="s">
        <v>714</v>
      </c>
      <c r="D185" s="922" t="s">
        <v>252</v>
      </c>
      <c r="E185" s="949" t="s">
        <v>251</v>
      </c>
      <c r="F185" s="987"/>
      <c r="G185" s="987"/>
      <c r="H185" s="987"/>
      <c r="I185" s="987"/>
      <c r="J185" s="987"/>
      <c r="K185" s="987"/>
      <c r="L185" s="682" t="s">
        <v>8</v>
      </c>
      <c r="M185" s="352">
        <v>49.9</v>
      </c>
      <c r="N185" s="353"/>
      <c r="O185" s="797">
        <f t="shared" si="9"/>
        <v>0</v>
      </c>
      <c r="P185" s="387"/>
    </row>
    <row r="186" spans="1:113" s="344" customFormat="1" ht="15.75" x14ac:dyDescent="0.25">
      <c r="C186" s="374" t="s">
        <v>714</v>
      </c>
      <c r="D186" s="740" t="s">
        <v>20</v>
      </c>
      <c r="E186" s="949" t="s">
        <v>21</v>
      </c>
      <c r="F186" s="987"/>
      <c r="G186" s="987"/>
      <c r="H186" s="987"/>
      <c r="I186" s="987"/>
      <c r="J186" s="987"/>
      <c r="K186" s="987"/>
      <c r="L186" s="682" t="s">
        <v>8</v>
      </c>
      <c r="M186" s="352">
        <v>118</v>
      </c>
      <c r="N186" s="353"/>
      <c r="O186" s="813">
        <f t="shared" si="9"/>
        <v>0</v>
      </c>
      <c r="P186" s="387"/>
    </row>
    <row r="187" spans="1:113" s="344" customFormat="1" ht="15.75" x14ac:dyDescent="0.25">
      <c r="C187" s="369" t="s">
        <v>714</v>
      </c>
      <c r="D187" s="343" t="s">
        <v>22</v>
      </c>
      <c r="E187" s="949" t="s">
        <v>23</v>
      </c>
      <c r="F187" s="987"/>
      <c r="G187" s="987"/>
      <c r="H187" s="987"/>
      <c r="I187" s="987"/>
      <c r="J187" s="987"/>
      <c r="K187" s="987"/>
      <c r="L187" s="682" t="s">
        <v>7</v>
      </c>
      <c r="M187" s="352">
        <v>1</v>
      </c>
      <c r="N187" s="353"/>
      <c r="O187" s="813">
        <f t="shared" si="9"/>
        <v>0</v>
      </c>
      <c r="P187" s="387"/>
    </row>
    <row r="188" spans="1:113" s="344" customFormat="1" ht="15.75" x14ac:dyDescent="0.25">
      <c r="C188" s="369" t="s">
        <v>714</v>
      </c>
      <c r="D188" s="343" t="s">
        <v>24</v>
      </c>
      <c r="E188" s="973" t="s">
        <v>25</v>
      </c>
      <c r="F188" s="973"/>
      <c r="G188" s="973"/>
      <c r="H188" s="973"/>
      <c r="I188" s="973"/>
      <c r="J188" s="973"/>
      <c r="K188" s="974"/>
      <c r="L188" s="682" t="s">
        <v>7</v>
      </c>
      <c r="M188" s="352">
        <v>1</v>
      </c>
      <c r="N188" s="353"/>
      <c r="O188" s="813">
        <f t="shared" si="9"/>
        <v>0</v>
      </c>
      <c r="P188" s="387"/>
    </row>
    <row r="189" spans="1:113" s="344" customFormat="1" ht="15.75" x14ac:dyDescent="0.25">
      <c r="C189" s="750" t="s">
        <v>794</v>
      </c>
      <c r="D189" s="751" t="s">
        <v>531</v>
      </c>
      <c r="E189" s="981" t="s">
        <v>793</v>
      </c>
      <c r="F189" s="981"/>
      <c r="G189" s="981"/>
      <c r="H189" s="981"/>
      <c r="I189" s="981"/>
      <c r="J189" s="981"/>
      <c r="K189" s="982"/>
      <c r="L189" s="752" t="s">
        <v>7</v>
      </c>
      <c r="M189" s="753">
        <v>3</v>
      </c>
      <c r="N189" s="754"/>
      <c r="O189" s="840">
        <f>M189*N189</f>
        <v>0</v>
      </c>
      <c r="P189" s="387"/>
    </row>
    <row r="190" spans="1:113" s="344" customFormat="1" ht="15.6" customHeight="1" x14ac:dyDescent="0.25">
      <c r="C190" s="841" t="s">
        <v>50</v>
      </c>
      <c r="D190" s="787" t="s">
        <v>536</v>
      </c>
      <c r="E190" s="959" t="s">
        <v>532</v>
      </c>
      <c r="F190" s="960"/>
      <c r="G190" s="960"/>
      <c r="H190" s="960"/>
      <c r="I190" s="960"/>
      <c r="J190" s="961"/>
      <c r="K190" s="896" t="s">
        <v>7</v>
      </c>
      <c r="L190" s="743">
        <v>50800</v>
      </c>
      <c r="M190" s="352">
        <v>1</v>
      </c>
      <c r="N190" s="729"/>
      <c r="O190" s="800"/>
      <c r="P190" s="387"/>
    </row>
    <row r="191" spans="1:113" s="344" customFormat="1" ht="15.6" customHeight="1" x14ac:dyDescent="0.25">
      <c r="C191" s="841" t="s">
        <v>446</v>
      </c>
      <c r="D191" s="893" t="s">
        <v>536</v>
      </c>
      <c r="E191" s="950" t="s">
        <v>448</v>
      </c>
      <c r="F191" s="950"/>
      <c r="G191" s="950"/>
      <c r="H191" s="950"/>
      <c r="I191" s="950"/>
      <c r="J191" s="950"/>
      <c r="K191" s="895" t="s">
        <v>7</v>
      </c>
      <c r="L191" s="515">
        <v>1.04</v>
      </c>
      <c r="M191" s="437">
        <v>10</v>
      </c>
      <c r="N191" s="516"/>
      <c r="O191" s="803"/>
      <c r="P191" s="387"/>
    </row>
    <row r="192" spans="1:113" s="344" customFormat="1" ht="15.6" customHeight="1" x14ac:dyDescent="0.25">
      <c r="C192" s="841" t="s">
        <v>446</v>
      </c>
      <c r="D192" s="894" t="s">
        <v>536</v>
      </c>
      <c r="E192" s="950" t="s">
        <v>449</v>
      </c>
      <c r="F192" s="950"/>
      <c r="G192" s="950"/>
      <c r="H192" s="950"/>
      <c r="I192" s="950"/>
      <c r="J192" s="950"/>
      <c r="K192" s="882" t="s">
        <v>450</v>
      </c>
      <c r="L192" s="515">
        <v>487.16</v>
      </c>
      <c r="M192" s="437">
        <v>3</v>
      </c>
      <c r="N192" s="516"/>
      <c r="O192" s="802"/>
      <c r="P192" s="387"/>
    </row>
    <row r="193" spans="3:16" s="344" customFormat="1" ht="15.6" customHeight="1" x14ac:dyDescent="0.25">
      <c r="C193" s="841" t="s">
        <v>446</v>
      </c>
      <c r="D193" s="893" t="s">
        <v>536</v>
      </c>
      <c r="E193" s="950" t="s">
        <v>451</v>
      </c>
      <c r="F193" s="950"/>
      <c r="G193" s="950"/>
      <c r="H193" s="950"/>
      <c r="I193" s="950"/>
      <c r="J193" s="950"/>
      <c r="K193" s="882" t="s">
        <v>452</v>
      </c>
      <c r="L193" s="515">
        <v>135.71</v>
      </c>
      <c r="M193" s="437">
        <v>3</v>
      </c>
      <c r="N193" s="516"/>
      <c r="O193" s="802"/>
      <c r="P193" s="387"/>
    </row>
    <row r="194" spans="3:16" s="344" customFormat="1" ht="15.6" customHeight="1" x14ac:dyDescent="0.25">
      <c r="C194" s="841" t="s">
        <v>446</v>
      </c>
      <c r="D194" s="894" t="s">
        <v>536</v>
      </c>
      <c r="E194" s="950" t="s">
        <v>453</v>
      </c>
      <c r="F194" s="950"/>
      <c r="G194" s="950"/>
      <c r="H194" s="950"/>
      <c r="I194" s="950"/>
      <c r="J194" s="950"/>
      <c r="K194" s="882" t="s">
        <v>42</v>
      </c>
      <c r="L194" s="515">
        <v>130.35</v>
      </c>
      <c r="M194" s="437">
        <v>3</v>
      </c>
      <c r="N194" s="516"/>
      <c r="O194" s="803"/>
      <c r="P194" s="387"/>
    </row>
    <row r="195" spans="3:16" s="344" customFormat="1" ht="15.6" customHeight="1" x14ac:dyDescent="0.25">
      <c r="C195" s="841" t="s">
        <v>446</v>
      </c>
      <c r="D195" s="893" t="s">
        <v>536</v>
      </c>
      <c r="E195" s="950" t="s">
        <v>454</v>
      </c>
      <c r="F195" s="950"/>
      <c r="G195" s="950"/>
      <c r="H195" s="950"/>
      <c r="I195" s="950"/>
      <c r="J195" s="950"/>
      <c r="K195" s="882" t="s">
        <v>42</v>
      </c>
      <c r="L195" s="515">
        <v>146.91</v>
      </c>
      <c r="M195" s="437">
        <v>3</v>
      </c>
      <c r="N195" s="516"/>
      <c r="O195" s="804"/>
      <c r="P195" s="387"/>
    </row>
    <row r="196" spans="3:16" s="344" customFormat="1" ht="15.6" customHeight="1" x14ac:dyDescent="0.25">
      <c r="C196" s="841" t="s">
        <v>455</v>
      </c>
      <c r="D196" s="894" t="s">
        <v>536</v>
      </c>
      <c r="E196" s="950" t="s">
        <v>456</v>
      </c>
      <c r="F196" s="950"/>
      <c r="G196" s="950"/>
      <c r="H196" s="950"/>
      <c r="I196" s="950"/>
      <c r="J196" s="950"/>
      <c r="K196" s="882" t="s">
        <v>7</v>
      </c>
      <c r="L196" s="517">
        <v>607.70000000000005</v>
      </c>
      <c r="M196" s="437">
        <v>1</v>
      </c>
      <c r="N196" s="516"/>
      <c r="O196" s="803"/>
      <c r="P196" s="387"/>
    </row>
    <row r="197" spans="3:16" s="344" customFormat="1" ht="15.6" customHeight="1" x14ac:dyDescent="0.25">
      <c r="C197" s="841" t="s">
        <v>457</v>
      </c>
      <c r="D197" s="893" t="s">
        <v>536</v>
      </c>
      <c r="E197" s="950" t="s">
        <v>458</v>
      </c>
      <c r="F197" s="950"/>
      <c r="G197" s="950"/>
      <c r="H197" s="950"/>
      <c r="I197" s="950"/>
      <c r="J197" s="950"/>
      <c r="K197" s="882" t="s">
        <v>7</v>
      </c>
      <c r="L197" s="518">
        <v>29.091100000000001</v>
      </c>
      <c r="M197" s="437">
        <v>4</v>
      </c>
      <c r="N197" s="516"/>
      <c r="O197" s="804"/>
      <c r="P197" s="387"/>
    </row>
    <row r="198" spans="3:16" s="344" customFormat="1" ht="15.6" customHeight="1" x14ac:dyDescent="0.25">
      <c r="C198" s="841" t="s">
        <v>459</v>
      </c>
      <c r="D198" s="894" t="s">
        <v>536</v>
      </c>
      <c r="E198" s="950" t="s">
        <v>460</v>
      </c>
      <c r="F198" s="950"/>
      <c r="G198" s="950"/>
      <c r="H198" s="950"/>
      <c r="I198" s="950"/>
      <c r="J198" s="950"/>
      <c r="K198" s="882" t="s">
        <v>7</v>
      </c>
      <c r="L198" s="518">
        <v>17.5</v>
      </c>
      <c r="M198" s="437">
        <v>4</v>
      </c>
      <c r="N198" s="516"/>
      <c r="O198" s="802"/>
      <c r="P198" s="387"/>
    </row>
    <row r="199" spans="3:16" s="344" customFormat="1" ht="15.6" customHeight="1" x14ac:dyDescent="0.25">
      <c r="C199" s="841" t="s">
        <v>461</v>
      </c>
      <c r="D199" s="893" t="s">
        <v>536</v>
      </c>
      <c r="E199" s="969" t="s">
        <v>462</v>
      </c>
      <c r="F199" s="970"/>
      <c r="G199" s="970"/>
      <c r="H199" s="970"/>
      <c r="I199" s="970"/>
      <c r="J199" s="971"/>
      <c r="K199" s="897" t="s">
        <v>48</v>
      </c>
      <c r="L199" s="518">
        <v>12.68</v>
      </c>
      <c r="M199" s="437">
        <f>(9.68*6)</f>
        <v>58.08</v>
      </c>
      <c r="N199" s="516"/>
      <c r="O199" s="811"/>
      <c r="P199" s="387"/>
    </row>
    <row r="200" spans="3:16" s="344" customFormat="1" x14ac:dyDescent="0.25">
      <c r="C200" s="510"/>
      <c r="D200" s="730"/>
      <c r="E200" s="731"/>
      <c r="F200" s="732"/>
      <c r="G200" s="732"/>
      <c r="H200" s="732"/>
      <c r="I200" s="730"/>
      <c r="J200" s="731"/>
      <c r="K200" s="732"/>
      <c r="L200" s="722"/>
      <c r="M200" s="704"/>
      <c r="N200" s="733"/>
      <c r="O200" s="812"/>
      <c r="P200" s="387"/>
    </row>
    <row r="201" spans="3:16" s="344" customFormat="1" ht="15.75" x14ac:dyDescent="0.25">
      <c r="C201" s="750" t="s">
        <v>794</v>
      </c>
      <c r="D201" s="751" t="s">
        <v>534</v>
      </c>
      <c r="E201" s="1066" t="s">
        <v>795</v>
      </c>
      <c r="F201" s="1067"/>
      <c r="G201" s="1067"/>
      <c r="H201" s="1067"/>
      <c r="I201" s="1067"/>
      <c r="J201" s="1067"/>
      <c r="K201" s="1067"/>
      <c r="L201" s="752" t="s">
        <v>7</v>
      </c>
      <c r="M201" s="755">
        <v>1</v>
      </c>
      <c r="N201" s="756"/>
      <c r="O201" s="842">
        <f>M201*N201</f>
        <v>0</v>
      </c>
      <c r="P201" s="387"/>
    </row>
    <row r="202" spans="3:16" s="344" customFormat="1" ht="15.6" customHeight="1" x14ac:dyDescent="0.25">
      <c r="C202" s="843" t="s">
        <v>50</v>
      </c>
      <c r="D202" s="787" t="s">
        <v>563</v>
      </c>
      <c r="E202" s="978" t="s">
        <v>535</v>
      </c>
      <c r="F202" s="979"/>
      <c r="G202" s="979"/>
      <c r="H202" s="979"/>
      <c r="I202" s="979"/>
      <c r="J202" s="980"/>
      <c r="K202" s="899" t="s">
        <v>7</v>
      </c>
      <c r="L202" s="738">
        <v>97600</v>
      </c>
      <c r="M202" s="734">
        <v>1</v>
      </c>
      <c r="N202" s="729"/>
      <c r="O202" s="800"/>
      <c r="P202" s="387"/>
    </row>
    <row r="203" spans="3:16" s="344" customFormat="1" ht="15.6" customHeight="1" x14ac:dyDescent="0.25">
      <c r="C203" s="843" t="s">
        <v>446</v>
      </c>
      <c r="D203" s="894" t="s">
        <v>563</v>
      </c>
      <c r="E203" s="950" t="s">
        <v>448</v>
      </c>
      <c r="F203" s="950"/>
      <c r="G203" s="950"/>
      <c r="H203" s="950"/>
      <c r="I203" s="950"/>
      <c r="J203" s="950"/>
      <c r="K203" s="898" t="s">
        <v>7</v>
      </c>
      <c r="L203" s="515">
        <v>1.04</v>
      </c>
      <c r="M203" s="519">
        <v>10</v>
      </c>
      <c r="N203" s="378"/>
      <c r="O203" s="844"/>
      <c r="P203" s="387"/>
    </row>
    <row r="204" spans="3:16" s="344" customFormat="1" ht="15.6" customHeight="1" x14ac:dyDescent="0.25">
      <c r="C204" s="843" t="s">
        <v>446</v>
      </c>
      <c r="D204" s="893" t="s">
        <v>563</v>
      </c>
      <c r="E204" s="950" t="s">
        <v>449</v>
      </c>
      <c r="F204" s="950"/>
      <c r="G204" s="950"/>
      <c r="H204" s="950"/>
      <c r="I204" s="950"/>
      <c r="J204" s="950"/>
      <c r="K204" s="890" t="s">
        <v>450</v>
      </c>
      <c r="L204" s="515">
        <v>487.16</v>
      </c>
      <c r="M204" s="519">
        <v>3</v>
      </c>
      <c r="N204" s="378"/>
      <c r="O204" s="844"/>
      <c r="P204" s="387"/>
    </row>
    <row r="205" spans="3:16" s="344" customFormat="1" ht="15.6" customHeight="1" x14ac:dyDescent="0.25">
      <c r="C205" s="843" t="s">
        <v>446</v>
      </c>
      <c r="D205" s="894" t="s">
        <v>563</v>
      </c>
      <c r="E205" s="950" t="s">
        <v>451</v>
      </c>
      <c r="F205" s="950"/>
      <c r="G205" s="950"/>
      <c r="H205" s="950"/>
      <c r="I205" s="950"/>
      <c r="J205" s="950"/>
      <c r="K205" s="890" t="s">
        <v>452</v>
      </c>
      <c r="L205" s="515">
        <v>135.71</v>
      </c>
      <c r="M205" s="519">
        <v>3</v>
      </c>
      <c r="N205" s="378"/>
      <c r="O205" s="844"/>
      <c r="P205" s="387"/>
    </row>
    <row r="206" spans="3:16" s="344" customFormat="1" ht="15.6" customHeight="1" x14ac:dyDescent="0.25">
      <c r="C206" s="843" t="s">
        <v>446</v>
      </c>
      <c r="D206" s="893" t="s">
        <v>563</v>
      </c>
      <c r="E206" s="950" t="s">
        <v>453</v>
      </c>
      <c r="F206" s="950"/>
      <c r="G206" s="950"/>
      <c r="H206" s="950"/>
      <c r="I206" s="950"/>
      <c r="J206" s="950"/>
      <c r="K206" s="890" t="s">
        <v>42</v>
      </c>
      <c r="L206" s="515">
        <v>130.35</v>
      </c>
      <c r="M206" s="519">
        <v>3</v>
      </c>
      <c r="N206" s="378"/>
      <c r="O206" s="844"/>
      <c r="P206" s="387"/>
    </row>
    <row r="207" spans="3:16" s="344" customFormat="1" ht="15.6" customHeight="1" x14ac:dyDescent="0.25">
      <c r="C207" s="843" t="s">
        <v>446</v>
      </c>
      <c r="D207" s="894" t="s">
        <v>563</v>
      </c>
      <c r="E207" s="950" t="s">
        <v>454</v>
      </c>
      <c r="F207" s="950"/>
      <c r="G207" s="950"/>
      <c r="H207" s="950"/>
      <c r="I207" s="950"/>
      <c r="J207" s="950"/>
      <c r="K207" s="890" t="s">
        <v>42</v>
      </c>
      <c r="L207" s="515">
        <v>146.91</v>
      </c>
      <c r="M207" s="519">
        <v>3</v>
      </c>
      <c r="N207" s="378"/>
      <c r="O207" s="845"/>
      <c r="P207" s="387"/>
    </row>
    <row r="208" spans="3:16" s="344" customFormat="1" ht="15.6" customHeight="1" x14ac:dyDescent="0.25">
      <c r="C208" s="843" t="s">
        <v>455</v>
      </c>
      <c r="D208" s="893" t="s">
        <v>563</v>
      </c>
      <c r="E208" s="950" t="s">
        <v>456</v>
      </c>
      <c r="F208" s="950"/>
      <c r="G208" s="950"/>
      <c r="H208" s="950"/>
      <c r="I208" s="950"/>
      <c r="J208" s="950"/>
      <c r="K208" s="890" t="s">
        <v>7</v>
      </c>
      <c r="L208" s="517">
        <v>607.70000000000005</v>
      </c>
      <c r="M208" s="519">
        <v>1</v>
      </c>
      <c r="N208" s="378"/>
      <c r="O208" s="845"/>
      <c r="P208" s="387"/>
    </row>
    <row r="209" spans="3:16" s="344" customFormat="1" ht="15.6" customHeight="1" x14ac:dyDescent="0.25">
      <c r="C209" s="843" t="s">
        <v>483</v>
      </c>
      <c r="D209" s="894" t="s">
        <v>563</v>
      </c>
      <c r="E209" s="969" t="s">
        <v>484</v>
      </c>
      <c r="F209" s="970"/>
      <c r="G209" s="970"/>
      <c r="H209" s="970"/>
      <c r="I209" s="970"/>
      <c r="J209" s="971"/>
      <c r="K209" s="892" t="s">
        <v>7</v>
      </c>
      <c r="L209" s="739">
        <v>6560.7</v>
      </c>
      <c r="M209" s="519">
        <v>1</v>
      </c>
      <c r="N209" s="378"/>
      <c r="O209" s="846"/>
      <c r="P209" s="387"/>
    </row>
    <row r="210" spans="3:16" s="344" customFormat="1" x14ac:dyDescent="0.25">
      <c r="C210" s="381"/>
      <c r="D210" s="720"/>
      <c r="E210" s="721"/>
      <c r="F210" s="720"/>
      <c r="G210" s="721"/>
      <c r="H210" s="720"/>
      <c r="I210" s="720"/>
      <c r="J210" s="721"/>
      <c r="K210" s="720"/>
      <c r="L210" s="735"/>
      <c r="M210" s="723"/>
      <c r="N210" s="736"/>
      <c r="O210" s="812"/>
      <c r="P210" s="387"/>
    </row>
    <row r="211" spans="3:16" s="344" customFormat="1" ht="15.6" customHeight="1" x14ac:dyDescent="0.25">
      <c r="C211" s="361" t="s">
        <v>50</v>
      </c>
      <c r="D211" s="370" t="s">
        <v>537</v>
      </c>
      <c r="E211" s="951" t="s">
        <v>538</v>
      </c>
      <c r="F211" s="951"/>
      <c r="G211" s="951"/>
      <c r="H211" s="951"/>
      <c r="I211" s="951"/>
      <c r="J211" s="951"/>
      <c r="K211" s="952"/>
      <c r="L211" s="682" t="s">
        <v>7</v>
      </c>
      <c r="M211" s="352">
        <v>3</v>
      </c>
      <c r="N211" s="353"/>
      <c r="O211" s="813">
        <f>N211*M211</f>
        <v>0</v>
      </c>
      <c r="P211" s="387"/>
    </row>
    <row r="212" spans="3:16" s="344" customFormat="1" ht="15.6" customHeight="1" x14ac:dyDescent="0.25">
      <c r="C212" s="694" t="s">
        <v>50</v>
      </c>
      <c r="D212" s="346" t="s">
        <v>539</v>
      </c>
      <c r="E212" s="951" t="s">
        <v>540</v>
      </c>
      <c r="F212" s="951"/>
      <c r="G212" s="951"/>
      <c r="H212" s="951"/>
      <c r="I212" s="951"/>
      <c r="J212" s="951"/>
      <c r="K212" s="952"/>
      <c r="L212" s="682" t="s">
        <v>7</v>
      </c>
      <c r="M212" s="352">
        <v>4</v>
      </c>
      <c r="N212" s="353"/>
      <c r="O212" s="813">
        <f t="shared" ref="O212:O231" si="10">N212*M212</f>
        <v>0</v>
      </c>
      <c r="P212" s="387"/>
    </row>
    <row r="213" spans="3:16" s="344" customFormat="1" ht="15.6" customHeight="1" x14ac:dyDescent="0.25">
      <c r="C213" s="694" t="s">
        <v>50</v>
      </c>
      <c r="D213" s="346" t="s">
        <v>539</v>
      </c>
      <c r="E213" s="951" t="s">
        <v>541</v>
      </c>
      <c r="F213" s="951"/>
      <c r="G213" s="951"/>
      <c r="H213" s="951"/>
      <c r="I213" s="951"/>
      <c r="J213" s="951"/>
      <c r="K213" s="952"/>
      <c r="L213" s="682" t="s">
        <v>7</v>
      </c>
      <c r="M213" s="352">
        <v>3</v>
      </c>
      <c r="N213" s="353"/>
      <c r="O213" s="813">
        <f t="shared" si="10"/>
        <v>0</v>
      </c>
      <c r="P213" s="387"/>
    </row>
    <row r="214" spans="3:16" s="344" customFormat="1" ht="15.6" customHeight="1" x14ac:dyDescent="0.25">
      <c r="C214" s="694" t="s">
        <v>50</v>
      </c>
      <c r="D214" s="371" t="s">
        <v>542</v>
      </c>
      <c r="E214" s="951" t="s">
        <v>543</v>
      </c>
      <c r="F214" s="951"/>
      <c r="G214" s="951"/>
      <c r="H214" s="951"/>
      <c r="I214" s="951"/>
      <c r="J214" s="951"/>
      <c r="K214" s="952"/>
      <c r="L214" s="682" t="s">
        <v>7</v>
      </c>
      <c r="M214" s="352">
        <v>1</v>
      </c>
      <c r="N214" s="353"/>
      <c r="O214" s="813">
        <f t="shared" si="10"/>
        <v>0</v>
      </c>
      <c r="P214" s="387"/>
    </row>
    <row r="215" spans="3:16" s="344" customFormat="1" ht="15.6" customHeight="1" x14ac:dyDescent="0.25">
      <c r="C215" s="694" t="s">
        <v>50</v>
      </c>
      <c r="D215" s="346" t="s">
        <v>497</v>
      </c>
      <c r="E215" s="951" t="s">
        <v>544</v>
      </c>
      <c r="F215" s="951"/>
      <c r="G215" s="951"/>
      <c r="H215" s="951"/>
      <c r="I215" s="951"/>
      <c r="J215" s="951"/>
      <c r="K215" s="952"/>
      <c r="L215" s="682" t="s">
        <v>7</v>
      </c>
      <c r="M215" s="352">
        <v>1</v>
      </c>
      <c r="N215" s="353"/>
      <c r="O215" s="813">
        <f t="shared" si="10"/>
        <v>0</v>
      </c>
      <c r="P215" s="387"/>
    </row>
    <row r="216" spans="3:16" s="344" customFormat="1" ht="15.6" customHeight="1" x14ac:dyDescent="0.25">
      <c r="C216" s="694" t="s">
        <v>50</v>
      </c>
      <c r="D216" s="346" t="s">
        <v>493</v>
      </c>
      <c r="E216" s="951" t="s">
        <v>545</v>
      </c>
      <c r="F216" s="951"/>
      <c r="G216" s="951"/>
      <c r="H216" s="951"/>
      <c r="I216" s="951"/>
      <c r="J216" s="951"/>
      <c r="K216" s="952"/>
      <c r="L216" s="682" t="s">
        <v>7</v>
      </c>
      <c r="M216" s="352">
        <v>3</v>
      </c>
      <c r="N216" s="353"/>
      <c r="O216" s="813">
        <f t="shared" si="10"/>
        <v>0</v>
      </c>
      <c r="P216" s="387"/>
    </row>
    <row r="217" spans="3:16" s="344" customFormat="1" ht="15.6" customHeight="1" x14ac:dyDescent="0.25">
      <c r="C217" s="694" t="s">
        <v>50</v>
      </c>
      <c r="D217" s="346" t="s">
        <v>546</v>
      </c>
      <c r="E217" s="951" t="s">
        <v>547</v>
      </c>
      <c r="F217" s="951"/>
      <c r="G217" s="951"/>
      <c r="H217" s="951"/>
      <c r="I217" s="951"/>
      <c r="J217" s="951"/>
      <c r="K217" s="952"/>
      <c r="L217" s="682" t="s">
        <v>7</v>
      </c>
      <c r="M217" s="352">
        <v>1</v>
      </c>
      <c r="N217" s="353"/>
      <c r="O217" s="813">
        <f t="shared" si="10"/>
        <v>0</v>
      </c>
      <c r="P217" s="387"/>
    </row>
    <row r="218" spans="3:16" s="344" customFormat="1" ht="15.6" customHeight="1" x14ac:dyDescent="0.25">
      <c r="C218" s="694" t="s">
        <v>50</v>
      </c>
      <c r="D218" s="346" t="s">
        <v>493</v>
      </c>
      <c r="E218" s="951" t="s">
        <v>548</v>
      </c>
      <c r="F218" s="951"/>
      <c r="G218" s="951"/>
      <c r="H218" s="951"/>
      <c r="I218" s="951"/>
      <c r="J218" s="951"/>
      <c r="K218" s="952"/>
      <c r="L218" s="682" t="s">
        <v>7</v>
      </c>
      <c r="M218" s="352">
        <v>9</v>
      </c>
      <c r="N218" s="353"/>
      <c r="O218" s="813">
        <f t="shared" si="10"/>
        <v>0</v>
      </c>
      <c r="P218" s="387"/>
    </row>
    <row r="219" spans="3:16" s="344" customFormat="1" ht="15.6" customHeight="1" x14ac:dyDescent="0.25">
      <c r="C219" s="694" t="s">
        <v>50</v>
      </c>
      <c r="D219" s="346" t="s">
        <v>497</v>
      </c>
      <c r="E219" s="951" t="s">
        <v>549</v>
      </c>
      <c r="F219" s="951"/>
      <c r="G219" s="951"/>
      <c r="H219" s="951"/>
      <c r="I219" s="951"/>
      <c r="J219" s="951"/>
      <c r="K219" s="952"/>
      <c r="L219" s="682" t="s">
        <v>7</v>
      </c>
      <c r="M219" s="352">
        <v>1</v>
      </c>
      <c r="N219" s="353"/>
      <c r="O219" s="813">
        <f t="shared" si="10"/>
        <v>0</v>
      </c>
      <c r="P219" s="387"/>
    </row>
    <row r="220" spans="3:16" s="344" customFormat="1" ht="15.6" customHeight="1" x14ac:dyDescent="0.25">
      <c r="C220" s="694" t="s">
        <v>50</v>
      </c>
      <c r="D220" s="346" t="s">
        <v>497</v>
      </c>
      <c r="E220" s="951" t="s">
        <v>550</v>
      </c>
      <c r="F220" s="951"/>
      <c r="G220" s="951"/>
      <c r="H220" s="951"/>
      <c r="I220" s="951"/>
      <c r="J220" s="951"/>
      <c r="K220" s="952"/>
      <c r="L220" s="682" t="s">
        <v>7</v>
      </c>
      <c r="M220" s="352">
        <v>1</v>
      </c>
      <c r="N220" s="353"/>
      <c r="O220" s="813">
        <f t="shared" si="10"/>
        <v>0</v>
      </c>
      <c r="P220" s="387"/>
    </row>
    <row r="221" spans="3:16" s="344" customFormat="1" ht="15.6" customHeight="1" x14ac:dyDescent="0.25">
      <c r="C221" s="694" t="s">
        <v>50</v>
      </c>
      <c r="D221" s="346" t="s">
        <v>551</v>
      </c>
      <c r="E221" s="951" t="s">
        <v>552</v>
      </c>
      <c r="F221" s="951"/>
      <c r="G221" s="951"/>
      <c r="H221" s="951"/>
      <c r="I221" s="951"/>
      <c r="J221" s="951"/>
      <c r="K221" s="952"/>
      <c r="L221" s="682" t="s">
        <v>7</v>
      </c>
      <c r="M221" s="352">
        <v>1</v>
      </c>
      <c r="N221" s="353"/>
      <c r="O221" s="813">
        <f t="shared" si="10"/>
        <v>0</v>
      </c>
      <c r="P221" s="387"/>
    </row>
    <row r="222" spans="3:16" s="344" customFormat="1" ht="15.6" customHeight="1" x14ac:dyDescent="0.25">
      <c r="C222" s="694" t="s">
        <v>50</v>
      </c>
      <c r="D222" s="346" t="s">
        <v>497</v>
      </c>
      <c r="E222" s="951" t="s">
        <v>553</v>
      </c>
      <c r="F222" s="951"/>
      <c r="G222" s="951"/>
      <c r="H222" s="951"/>
      <c r="I222" s="951"/>
      <c r="J222" s="951"/>
      <c r="K222" s="952"/>
      <c r="L222" s="682" t="s">
        <v>7</v>
      </c>
      <c r="M222" s="352">
        <v>1</v>
      </c>
      <c r="N222" s="353"/>
      <c r="O222" s="813">
        <f t="shared" si="10"/>
        <v>0</v>
      </c>
      <c r="P222" s="387"/>
    </row>
    <row r="223" spans="3:16" s="344" customFormat="1" ht="15.6" customHeight="1" x14ac:dyDescent="0.25">
      <c r="C223" s="694" t="s">
        <v>50</v>
      </c>
      <c r="D223" s="346" t="s">
        <v>551</v>
      </c>
      <c r="E223" s="951" t="s">
        <v>509</v>
      </c>
      <c r="F223" s="951"/>
      <c r="G223" s="951"/>
      <c r="H223" s="951"/>
      <c r="I223" s="951"/>
      <c r="J223" s="951"/>
      <c r="K223" s="952"/>
      <c r="L223" s="682" t="s">
        <v>7</v>
      </c>
      <c r="M223" s="352">
        <v>1</v>
      </c>
      <c r="N223" s="353"/>
      <c r="O223" s="813">
        <f t="shared" si="10"/>
        <v>0</v>
      </c>
      <c r="P223" s="387"/>
    </row>
    <row r="224" spans="3:16" s="344" customFormat="1" ht="15.6" customHeight="1" x14ac:dyDescent="0.25">
      <c r="C224" s="694" t="s">
        <v>50</v>
      </c>
      <c r="D224" s="346" t="s">
        <v>551</v>
      </c>
      <c r="E224" s="951" t="s">
        <v>554</v>
      </c>
      <c r="F224" s="951"/>
      <c r="G224" s="951"/>
      <c r="H224" s="951"/>
      <c r="I224" s="951"/>
      <c r="J224" s="951"/>
      <c r="K224" s="952"/>
      <c r="L224" s="682" t="s">
        <v>7</v>
      </c>
      <c r="M224" s="352">
        <v>4</v>
      </c>
      <c r="N224" s="353"/>
      <c r="O224" s="813">
        <f t="shared" si="10"/>
        <v>0</v>
      </c>
      <c r="P224" s="387"/>
    </row>
    <row r="225" spans="1:113" s="344" customFormat="1" ht="15.6" customHeight="1" x14ac:dyDescent="0.25">
      <c r="C225" s="694" t="s">
        <v>50</v>
      </c>
      <c r="D225" s="346" t="s">
        <v>497</v>
      </c>
      <c r="E225" s="951" t="s">
        <v>555</v>
      </c>
      <c r="F225" s="951"/>
      <c r="G225" s="951"/>
      <c r="H225" s="951"/>
      <c r="I225" s="951"/>
      <c r="J225" s="951"/>
      <c r="K225" s="952"/>
      <c r="L225" s="682" t="s">
        <v>7</v>
      </c>
      <c r="M225" s="352">
        <v>1</v>
      </c>
      <c r="N225" s="353"/>
      <c r="O225" s="813">
        <f t="shared" si="10"/>
        <v>0</v>
      </c>
      <c r="P225" s="387"/>
    </row>
    <row r="226" spans="1:113" s="344" customFormat="1" ht="15.6" customHeight="1" x14ac:dyDescent="0.25">
      <c r="C226" s="694" t="s">
        <v>50</v>
      </c>
      <c r="D226" s="346" t="s">
        <v>539</v>
      </c>
      <c r="E226" s="951" t="s">
        <v>556</v>
      </c>
      <c r="F226" s="951"/>
      <c r="G226" s="951"/>
      <c r="H226" s="951"/>
      <c r="I226" s="951"/>
      <c r="J226" s="951"/>
      <c r="K226" s="952"/>
      <c r="L226" s="682" t="s">
        <v>7</v>
      </c>
      <c r="M226" s="352">
        <v>6</v>
      </c>
      <c r="N226" s="353"/>
      <c r="O226" s="813">
        <f t="shared" si="10"/>
        <v>0</v>
      </c>
      <c r="P226" s="387"/>
    </row>
    <row r="227" spans="1:113" s="344" customFormat="1" ht="15.6" customHeight="1" x14ac:dyDescent="0.25">
      <c r="C227" s="355" t="s">
        <v>50</v>
      </c>
      <c r="D227" s="368" t="s">
        <v>539</v>
      </c>
      <c r="E227" s="951" t="s">
        <v>557</v>
      </c>
      <c r="F227" s="951"/>
      <c r="G227" s="951"/>
      <c r="H227" s="951"/>
      <c r="I227" s="951"/>
      <c r="J227" s="951"/>
      <c r="K227" s="952"/>
      <c r="L227" s="682" t="s">
        <v>7</v>
      </c>
      <c r="M227" s="352">
        <v>3</v>
      </c>
      <c r="N227" s="353"/>
      <c r="O227" s="813">
        <f t="shared" si="10"/>
        <v>0</v>
      </c>
      <c r="P227" s="387"/>
    </row>
    <row r="228" spans="1:113" s="344" customFormat="1" ht="15.6" customHeight="1" x14ac:dyDescent="0.25">
      <c r="C228" s="345" t="s">
        <v>50</v>
      </c>
      <c r="D228" s="346" t="s">
        <v>558</v>
      </c>
      <c r="E228" s="951" t="s">
        <v>559</v>
      </c>
      <c r="F228" s="951"/>
      <c r="G228" s="951"/>
      <c r="H228" s="951"/>
      <c r="I228" s="951"/>
      <c r="J228" s="951"/>
      <c r="K228" s="952"/>
      <c r="L228" s="682" t="s">
        <v>7</v>
      </c>
      <c r="M228" s="352">
        <v>2</v>
      </c>
      <c r="N228" s="353"/>
      <c r="O228" s="813">
        <f t="shared" si="10"/>
        <v>0</v>
      </c>
      <c r="P228" s="387"/>
    </row>
    <row r="229" spans="1:113" s="344" customFormat="1" ht="15.6" customHeight="1" x14ac:dyDescent="0.25">
      <c r="C229" s="345" t="s">
        <v>50</v>
      </c>
      <c r="D229" s="343" t="s">
        <v>539</v>
      </c>
      <c r="E229" s="951" t="s">
        <v>560</v>
      </c>
      <c r="F229" s="951"/>
      <c r="G229" s="951"/>
      <c r="H229" s="951"/>
      <c r="I229" s="951"/>
      <c r="J229" s="951"/>
      <c r="K229" s="952"/>
      <c r="L229" s="682" t="s">
        <v>7</v>
      </c>
      <c r="M229" s="352">
        <v>5</v>
      </c>
      <c r="N229" s="353"/>
      <c r="O229" s="813">
        <f t="shared" si="10"/>
        <v>0</v>
      </c>
      <c r="P229" s="387"/>
    </row>
    <row r="230" spans="1:113" s="344" customFormat="1" ht="15.6" customHeight="1" x14ac:dyDescent="0.25">
      <c r="C230" s="345" t="s">
        <v>714</v>
      </c>
      <c r="D230" s="913" t="s">
        <v>225</v>
      </c>
      <c r="E230" s="947" t="s">
        <v>226</v>
      </c>
      <c r="F230" s="947"/>
      <c r="G230" s="947"/>
      <c r="H230" s="947"/>
      <c r="I230" s="947"/>
      <c r="J230" s="947"/>
      <c r="K230" s="949"/>
      <c r="L230" s="682" t="s">
        <v>7</v>
      </c>
      <c r="M230" s="352">
        <v>6</v>
      </c>
      <c r="N230" s="353"/>
      <c r="O230" s="813">
        <f t="shared" si="10"/>
        <v>0</v>
      </c>
      <c r="P230" s="387"/>
    </row>
    <row r="231" spans="1:113" s="344" customFormat="1" ht="15.6" customHeight="1" thickBot="1" x14ac:dyDescent="0.3">
      <c r="C231" s="367" t="s">
        <v>714</v>
      </c>
      <c r="D231" s="423" t="s">
        <v>479</v>
      </c>
      <c r="E231" s="951" t="s">
        <v>480</v>
      </c>
      <c r="F231" s="951"/>
      <c r="G231" s="951"/>
      <c r="H231" s="951"/>
      <c r="I231" s="951"/>
      <c r="J231" s="951"/>
      <c r="K231" s="952"/>
      <c r="L231" s="744" t="s">
        <v>42</v>
      </c>
      <c r="M231" s="424">
        <v>12</v>
      </c>
      <c r="N231" s="425"/>
      <c r="O231" s="800">
        <f t="shared" si="10"/>
        <v>0</v>
      </c>
      <c r="P231" s="387"/>
    </row>
    <row r="232" spans="1:113" s="3" customFormat="1" ht="16.5" thickBot="1" x14ac:dyDescent="0.3">
      <c r="A232"/>
      <c r="B232"/>
      <c r="C232" s="491"/>
      <c r="D232" s="441" t="s">
        <v>1</v>
      </c>
      <c r="E232" s="988" t="s">
        <v>713</v>
      </c>
      <c r="F232" s="988"/>
      <c r="G232" s="988"/>
      <c r="H232" s="988"/>
      <c r="I232" s="988"/>
      <c r="J232" s="988"/>
      <c r="K232" s="687"/>
      <c r="L232" s="651"/>
      <c r="M232" s="652"/>
      <c r="N232" s="653"/>
      <c r="O232" s="654"/>
      <c r="P232" s="6"/>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row>
    <row r="233" spans="1:113" s="4" customFormat="1" ht="16.5" thickBot="1" x14ac:dyDescent="0.3">
      <c r="A233"/>
      <c r="B233"/>
      <c r="C233" s="416"/>
      <c r="D233" s="1025" t="s">
        <v>66</v>
      </c>
      <c r="E233" s="1025"/>
      <c r="F233" s="1025"/>
      <c r="G233" s="1025"/>
      <c r="H233" s="1025"/>
      <c r="I233" s="1025"/>
      <c r="J233" s="1025"/>
      <c r="K233" s="1025"/>
      <c r="L233" s="417"/>
      <c r="M233" s="418"/>
      <c r="N233" s="419"/>
      <c r="O233" s="420"/>
      <c r="P233" s="6"/>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row>
    <row r="234" spans="1:113" s="344" customFormat="1" ht="16.5" thickBot="1" x14ac:dyDescent="0.3">
      <c r="C234" s="393"/>
      <c r="D234" s="421"/>
      <c r="E234" s="1075"/>
      <c r="F234" s="1075"/>
      <c r="G234" s="1075"/>
      <c r="H234" s="1075"/>
      <c r="I234" s="1075"/>
      <c r="J234" s="1075"/>
      <c r="K234" s="1075"/>
      <c r="L234" s="421"/>
      <c r="M234" s="397"/>
      <c r="N234" s="398"/>
      <c r="O234" s="399"/>
      <c r="P234" s="387"/>
    </row>
    <row r="235" spans="1:113" s="344" customFormat="1" ht="14.45" customHeight="1" x14ac:dyDescent="0.25">
      <c r="C235" s="511" t="s">
        <v>714</v>
      </c>
      <c r="D235" s="691" t="s">
        <v>73</v>
      </c>
      <c r="E235" s="947" t="s">
        <v>74</v>
      </c>
      <c r="F235" s="947"/>
      <c r="G235" s="947"/>
      <c r="H235" s="947"/>
      <c r="I235" s="947"/>
      <c r="J235" s="947"/>
      <c r="K235" s="949"/>
      <c r="L235" s="600" t="s">
        <v>5</v>
      </c>
      <c r="M235" s="352">
        <v>185.76000000000002</v>
      </c>
      <c r="N235" s="353"/>
      <c r="O235" s="797">
        <f>N235*M235</f>
        <v>0</v>
      </c>
      <c r="P235" s="387"/>
    </row>
    <row r="236" spans="1:113" s="344" customFormat="1" ht="15.6" customHeight="1" x14ac:dyDescent="0.25">
      <c r="C236" s="774" t="s">
        <v>714</v>
      </c>
      <c r="D236" s="923" t="s">
        <v>20</v>
      </c>
      <c r="E236" s="947" t="s">
        <v>21</v>
      </c>
      <c r="F236" s="947"/>
      <c r="G236" s="947"/>
      <c r="H236" s="947"/>
      <c r="I236" s="947"/>
      <c r="J236" s="947"/>
      <c r="K236" s="949"/>
      <c r="L236" s="682" t="s">
        <v>8</v>
      </c>
      <c r="M236" s="352">
        <v>4.32</v>
      </c>
      <c r="N236" s="353"/>
      <c r="O236" s="813">
        <f>N236*M236</f>
        <v>0</v>
      </c>
      <c r="P236" s="387"/>
    </row>
    <row r="237" spans="1:113" s="344" customFormat="1" ht="15.6" customHeight="1" x14ac:dyDescent="0.25">
      <c r="C237" s="750" t="s">
        <v>561</v>
      </c>
      <c r="D237" s="777" t="s">
        <v>375</v>
      </c>
      <c r="E237" s="990" t="s">
        <v>797</v>
      </c>
      <c r="F237" s="990"/>
      <c r="G237" s="990"/>
      <c r="H237" s="990"/>
      <c r="I237" s="990"/>
      <c r="J237" s="990"/>
      <c r="K237" s="991"/>
      <c r="L237" s="778" t="s">
        <v>7</v>
      </c>
      <c r="M237" s="779">
        <v>1</v>
      </c>
      <c r="N237" s="780"/>
      <c r="O237" s="840">
        <f>N237*M237</f>
        <v>0</v>
      </c>
      <c r="P237" s="387"/>
    </row>
    <row r="238" spans="1:113" s="344" customFormat="1" ht="15.75" x14ac:dyDescent="0.25">
      <c r="C238" s="841" t="s">
        <v>50</v>
      </c>
      <c r="D238" s="737" t="s">
        <v>581</v>
      </c>
      <c r="E238" s="1076" t="s">
        <v>796</v>
      </c>
      <c r="F238" s="1077"/>
      <c r="G238" s="1077"/>
      <c r="H238" s="1077"/>
      <c r="I238" s="1077"/>
      <c r="J238" s="1077"/>
      <c r="K238" s="1078" t="s">
        <v>7</v>
      </c>
      <c r="L238" s="775">
        <v>99200</v>
      </c>
      <c r="M238" s="734">
        <v>1</v>
      </c>
      <c r="N238" s="776"/>
      <c r="O238" s="800"/>
      <c r="P238" s="387"/>
    </row>
    <row r="239" spans="1:113" s="344" customFormat="1" ht="15.6" customHeight="1" x14ac:dyDescent="0.25">
      <c r="C239" s="841" t="s">
        <v>446</v>
      </c>
      <c r="D239" s="894" t="s">
        <v>581</v>
      </c>
      <c r="E239" s="950" t="s">
        <v>448</v>
      </c>
      <c r="F239" s="950"/>
      <c r="G239" s="950"/>
      <c r="H239" s="950"/>
      <c r="I239" s="950"/>
      <c r="J239" s="950"/>
      <c r="K239" s="719" t="s">
        <v>7</v>
      </c>
      <c r="L239" s="515">
        <v>1.04</v>
      </c>
      <c r="M239" s="519">
        <v>10</v>
      </c>
      <c r="N239" s="378"/>
      <c r="O239" s="845"/>
      <c r="P239" s="387"/>
    </row>
    <row r="240" spans="1:113" s="344" customFormat="1" ht="15.6" customHeight="1" x14ac:dyDescent="0.25">
      <c r="C240" s="841" t="s">
        <v>446</v>
      </c>
      <c r="D240" s="893" t="s">
        <v>581</v>
      </c>
      <c r="E240" s="950" t="s">
        <v>449</v>
      </c>
      <c r="F240" s="950"/>
      <c r="G240" s="950"/>
      <c r="H240" s="950"/>
      <c r="I240" s="950"/>
      <c r="J240" s="950"/>
      <c r="K240" s="890" t="s">
        <v>450</v>
      </c>
      <c r="L240" s="515">
        <v>487.16</v>
      </c>
      <c r="M240" s="519">
        <v>3</v>
      </c>
      <c r="N240" s="378"/>
      <c r="O240" s="845"/>
      <c r="P240" s="387"/>
    </row>
    <row r="241" spans="3:16" s="344" customFormat="1" ht="15.6" customHeight="1" x14ac:dyDescent="0.25">
      <c r="C241" s="841" t="s">
        <v>446</v>
      </c>
      <c r="D241" s="893" t="s">
        <v>581</v>
      </c>
      <c r="E241" s="950" t="s">
        <v>451</v>
      </c>
      <c r="F241" s="950"/>
      <c r="G241" s="950"/>
      <c r="H241" s="950"/>
      <c r="I241" s="950"/>
      <c r="J241" s="950"/>
      <c r="K241" s="890" t="s">
        <v>452</v>
      </c>
      <c r="L241" s="515">
        <v>135.71</v>
      </c>
      <c r="M241" s="519">
        <v>3</v>
      </c>
      <c r="N241" s="378"/>
      <c r="O241" s="804"/>
      <c r="P241" s="387"/>
    </row>
    <row r="242" spans="3:16" s="344" customFormat="1" ht="15.6" customHeight="1" x14ac:dyDescent="0.25">
      <c r="C242" s="841" t="s">
        <v>446</v>
      </c>
      <c r="D242" s="893" t="s">
        <v>581</v>
      </c>
      <c r="E242" s="950" t="s">
        <v>453</v>
      </c>
      <c r="F242" s="950"/>
      <c r="G242" s="950"/>
      <c r="H242" s="950"/>
      <c r="I242" s="950"/>
      <c r="J242" s="950"/>
      <c r="K242" s="890" t="s">
        <v>42</v>
      </c>
      <c r="L242" s="515">
        <v>130.35</v>
      </c>
      <c r="M242" s="519">
        <v>3</v>
      </c>
      <c r="N242" s="378"/>
      <c r="O242" s="844"/>
      <c r="P242" s="387"/>
    </row>
    <row r="243" spans="3:16" s="344" customFormat="1" ht="15.6" customHeight="1" x14ac:dyDescent="0.25">
      <c r="C243" s="841" t="s">
        <v>446</v>
      </c>
      <c r="D243" s="893" t="s">
        <v>581</v>
      </c>
      <c r="E243" s="950" t="s">
        <v>454</v>
      </c>
      <c r="F243" s="950"/>
      <c r="G243" s="950"/>
      <c r="H243" s="950"/>
      <c r="I243" s="950"/>
      <c r="J243" s="950"/>
      <c r="K243" s="890" t="s">
        <v>42</v>
      </c>
      <c r="L243" s="515">
        <v>146.91</v>
      </c>
      <c r="M243" s="519">
        <v>3</v>
      </c>
      <c r="N243" s="378"/>
      <c r="O243" s="844"/>
      <c r="P243" s="387"/>
    </row>
    <row r="244" spans="3:16" s="344" customFormat="1" ht="15.6" customHeight="1" x14ac:dyDescent="0.25">
      <c r="C244" s="841" t="s">
        <v>455</v>
      </c>
      <c r="D244" s="893" t="s">
        <v>581</v>
      </c>
      <c r="E244" s="950" t="s">
        <v>456</v>
      </c>
      <c r="F244" s="950"/>
      <c r="G244" s="950"/>
      <c r="H244" s="950"/>
      <c r="I244" s="950"/>
      <c r="J244" s="950"/>
      <c r="K244" s="890" t="s">
        <v>7</v>
      </c>
      <c r="L244" s="517">
        <v>607.70000000000005</v>
      </c>
      <c r="M244" s="519">
        <v>1</v>
      </c>
      <c r="N244" s="378"/>
      <c r="O244" s="844"/>
      <c r="P244" s="387"/>
    </row>
    <row r="245" spans="3:16" s="344" customFormat="1" ht="15.6" customHeight="1" x14ac:dyDescent="0.25">
      <c r="C245" s="841" t="s">
        <v>483</v>
      </c>
      <c r="D245" s="893" t="s">
        <v>581</v>
      </c>
      <c r="E245" s="969" t="s">
        <v>484</v>
      </c>
      <c r="F245" s="970"/>
      <c r="G245" s="970"/>
      <c r="H245" s="970"/>
      <c r="I245" s="970"/>
      <c r="J245" s="971"/>
      <c r="K245" s="892" t="s">
        <v>7</v>
      </c>
      <c r="L245" s="518">
        <v>6560.7</v>
      </c>
      <c r="M245" s="519">
        <v>1</v>
      </c>
      <c r="N245" s="378"/>
      <c r="O245" s="847"/>
      <c r="P245" s="387"/>
    </row>
    <row r="246" spans="3:16" s="344" customFormat="1" x14ac:dyDescent="0.25">
      <c r="C246" s="381"/>
      <c r="D246" s="720"/>
      <c r="E246" s="771"/>
      <c r="F246" s="710"/>
      <c r="G246" s="701"/>
      <c r="H246" s="701"/>
      <c r="I246" s="771"/>
      <c r="J246" s="771"/>
      <c r="K246" s="771"/>
      <c r="L246" s="772"/>
      <c r="M246" s="773"/>
      <c r="N246" s="733"/>
      <c r="O246" s="812"/>
      <c r="P246" s="387"/>
    </row>
    <row r="247" spans="3:16" s="344" customFormat="1" ht="15.75" x14ac:dyDescent="0.25">
      <c r="C247" s="369" t="s">
        <v>50</v>
      </c>
      <c r="D247" s="592" t="s">
        <v>564</v>
      </c>
      <c r="E247" s="951" t="s">
        <v>565</v>
      </c>
      <c r="F247" s="951"/>
      <c r="G247" s="951"/>
      <c r="H247" s="951"/>
      <c r="I247" s="951"/>
      <c r="J247" s="951"/>
      <c r="K247" s="968"/>
      <c r="L247" s="600" t="s">
        <v>7</v>
      </c>
      <c r="M247" s="352">
        <v>1</v>
      </c>
      <c r="N247" s="353"/>
      <c r="O247" s="813">
        <f>N247*M247</f>
        <v>0</v>
      </c>
      <c r="P247" s="387"/>
    </row>
    <row r="248" spans="3:16" s="344" customFormat="1" ht="15.75" x14ac:dyDescent="0.25">
      <c r="C248" s="367" t="s">
        <v>50</v>
      </c>
      <c r="D248" s="593" t="s">
        <v>497</v>
      </c>
      <c r="E248" s="951" t="s">
        <v>566</v>
      </c>
      <c r="F248" s="951"/>
      <c r="G248" s="951"/>
      <c r="H248" s="951"/>
      <c r="I248" s="951"/>
      <c r="J248" s="951"/>
      <c r="K248" s="968"/>
      <c r="L248" s="600" t="s">
        <v>7</v>
      </c>
      <c r="M248" s="352">
        <v>1</v>
      </c>
      <c r="N248" s="353"/>
      <c r="O248" s="813">
        <f t="shared" ref="O248:O273" si="11">N248*M248</f>
        <v>0</v>
      </c>
      <c r="P248" s="387"/>
    </row>
    <row r="249" spans="3:16" s="344" customFormat="1" ht="15.75" x14ac:dyDescent="0.25">
      <c r="C249" s="694" t="s">
        <v>50</v>
      </c>
      <c r="D249" s="594" t="s">
        <v>497</v>
      </c>
      <c r="E249" s="951" t="s">
        <v>567</v>
      </c>
      <c r="F249" s="951"/>
      <c r="G249" s="951"/>
      <c r="H249" s="951"/>
      <c r="I249" s="951"/>
      <c r="J249" s="951"/>
      <c r="K249" s="968"/>
      <c r="L249" s="600" t="s">
        <v>7</v>
      </c>
      <c r="M249" s="352">
        <v>2</v>
      </c>
      <c r="N249" s="353"/>
      <c r="O249" s="813">
        <f t="shared" si="11"/>
        <v>0</v>
      </c>
      <c r="P249" s="387"/>
    </row>
    <row r="250" spans="3:16" s="344" customFormat="1" ht="15.75" x14ac:dyDescent="0.25">
      <c r="C250" s="694" t="s">
        <v>50</v>
      </c>
      <c r="D250" s="594" t="s">
        <v>150</v>
      </c>
      <c r="E250" s="951" t="s">
        <v>568</v>
      </c>
      <c r="F250" s="951"/>
      <c r="G250" s="951"/>
      <c r="H250" s="951"/>
      <c r="I250" s="951"/>
      <c r="J250" s="951"/>
      <c r="K250" s="968"/>
      <c r="L250" s="600" t="s">
        <v>7</v>
      </c>
      <c r="M250" s="352">
        <v>5</v>
      </c>
      <c r="N250" s="353"/>
      <c r="O250" s="813">
        <f t="shared" si="11"/>
        <v>0</v>
      </c>
      <c r="P250" s="387"/>
    </row>
    <row r="251" spans="3:16" s="344" customFormat="1" ht="15.75" x14ac:dyDescent="0.25">
      <c r="C251" s="694" t="s">
        <v>50</v>
      </c>
      <c r="D251" s="594" t="s">
        <v>151</v>
      </c>
      <c r="E251" s="951" t="s">
        <v>569</v>
      </c>
      <c r="F251" s="951"/>
      <c r="G251" s="951"/>
      <c r="H251" s="951"/>
      <c r="I251" s="951"/>
      <c r="J251" s="951"/>
      <c r="K251" s="968"/>
      <c r="L251" s="600" t="s">
        <v>7</v>
      </c>
      <c r="M251" s="352">
        <v>1</v>
      </c>
      <c r="N251" s="353"/>
      <c r="O251" s="813">
        <f t="shared" si="11"/>
        <v>0</v>
      </c>
      <c r="P251" s="387"/>
    </row>
    <row r="252" spans="3:16" s="344" customFormat="1" ht="15.75" x14ac:dyDescent="0.25">
      <c r="C252" s="694" t="s">
        <v>50</v>
      </c>
      <c r="D252" s="594" t="s">
        <v>377</v>
      </c>
      <c r="E252" s="951" t="s">
        <v>570</v>
      </c>
      <c r="F252" s="951"/>
      <c r="G252" s="951"/>
      <c r="H252" s="951"/>
      <c r="I252" s="951"/>
      <c r="J252" s="951"/>
      <c r="K252" s="968"/>
      <c r="L252" s="600" t="s">
        <v>7</v>
      </c>
      <c r="M252" s="352">
        <v>1</v>
      </c>
      <c r="N252" s="353"/>
      <c r="O252" s="813">
        <f t="shared" si="11"/>
        <v>0</v>
      </c>
      <c r="P252" s="387"/>
    </row>
    <row r="253" spans="3:16" s="344" customFormat="1" ht="15.75" x14ac:dyDescent="0.25">
      <c r="C253" s="694" t="s">
        <v>50</v>
      </c>
      <c r="D253" s="594" t="s">
        <v>497</v>
      </c>
      <c r="E253" s="951" t="s">
        <v>571</v>
      </c>
      <c r="F253" s="951"/>
      <c r="G253" s="951"/>
      <c r="H253" s="951"/>
      <c r="I253" s="951"/>
      <c r="J253" s="951"/>
      <c r="K253" s="968"/>
      <c r="L253" s="600" t="s">
        <v>7</v>
      </c>
      <c r="M253" s="352">
        <v>1</v>
      </c>
      <c r="N253" s="353"/>
      <c r="O253" s="813">
        <f t="shared" si="11"/>
        <v>0</v>
      </c>
      <c r="P253" s="387"/>
    </row>
    <row r="254" spans="3:16" s="344" customFormat="1" ht="15.75" x14ac:dyDescent="0.25">
      <c r="C254" s="694" t="s">
        <v>50</v>
      </c>
      <c r="D254" s="594" t="s">
        <v>493</v>
      </c>
      <c r="E254" s="951" t="s">
        <v>572</v>
      </c>
      <c r="F254" s="951"/>
      <c r="G254" s="951"/>
      <c r="H254" s="951"/>
      <c r="I254" s="951"/>
      <c r="J254" s="951"/>
      <c r="K254" s="968"/>
      <c r="L254" s="600" t="s">
        <v>7</v>
      </c>
      <c r="M254" s="352">
        <v>1</v>
      </c>
      <c r="N254" s="353"/>
      <c r="O254" s="813">
        <f t="shared" si="11"/>
        <v>0</v>
      </c>
      <c r="P254" s="387"/>
    </row>
    <row r="255" spans="3:16" s="344" customFormat="1" ht="15.75" x14ac:dyDescent="0.25">
      <c r="C255" s="694" t="s">
        <v>50</v>
      </c>
      <c r="D255" s="594" t="s">
        <v>378</v>
      </c>
      <c r="E255" s="951" t="s">
        <v>573</v>
      </c>
      <c r="F255" s="951"/>
      <c r="G255" s="951"/>
      <c r="H255" s="951"/>
      <c r="I255" s="951"/>
      <c r="J255" s="951"/>
      <c r="K255" s="968"/>
      <c r="L255" s="600" t="s">
        <v>7</v>
      </c>
      <c r="M255" s="352">
        <v>2</v>
      </c>
      <c r="N255" s="353"/>
      <c r="O255" s="813">
        <f t="shared" si="11"/>
        <v>0</v>
      </c>
      <c r="P255" s="387"/>
    </row>
    <row r="256" spans="3:16" s="344" customFormat="1" ht="15.75" x14ac:dyDescent="0.25">
      <c r="C256" s="694" t="s">
        <v>50</v>
      </c>
      <c r="D256" s="595" t="s">
        <v>497</v>
      </c>
      <c r="E256" s="951" t="s">
        <v>574</v>
      </c>
      <c r="F256" s="951"/>
      <c r="G256" s="951"/>
      <c r="H256" s="951"/>
      <c r="I256" s="951"/>
      <c r="J256" s="951"/>
      <c r="K256" s="968"/>
      <c r="L256" s="600" t="s">
        <v>7</v>
      </c>
      <c r="M256" s="352">
        <v>1</v>
      </c>
      <c r="N256" s="353"/>
      <c r="O256" s="813">
        <f t="shared" si="11"/>
        <v>0</v>
      </c>
      <c r="P256" s="387"/>
    </row>
    <row r="257" spans="3:16" s="344" customFormat="1" ht="15.75" x14ac:dyDescent="0.25">
      <c r="C257" s="694" t="s">
        <v>50</v>
      </c>
      <c r="D257" s="594" t="s">
        <v>152</v>
      </c>
      <c r="E257" s="951" t="s">
        <v>575</v>
      </c>
      <c r="F257" s="951"/>
      <c r="G257" s="951"/>
      <c r="H257" s="951"/>
      <c r="I257" s="951"/>
      <c r="J257" s="951"/>
      <c r="K257" s="968"/>
      <c r="L257" s="600" t="s">
        <v>7</v>
      </c>
      <c r="M257" s="352">
        <v>1</v>
      </c>
      <c r="N257" s="353"/>
      <c r="O257" s="813">
        <f t="shared" si="11"/>
        <v>0</v>
      </c>
      <c r="P257" s="387"/>
    </row>
    <row r="258" spans="3:16" s="344" customFormat="1" ht="15.75" x14ac:dyDescent="0.25">
      <c r="C258" s="369" t="s">
        <v>50</v>
      </c>
      <c r="D258" s="596" t="s">
        <v>539</v>
      </c>
      <c r="E258" s="951" t="s">
        <v>576</v>
      </c>
      <c r="F258" s="951"/>
      <c r="G258" s="951"/>
      <c r="H258" s="951"/>
      <c r="I258" s="951"/>
      <c r="J258" s="951"/>
      <c r="K258" s="968"/>
      <c r="L258" s="600" t="s">
        <v>7</v>
      </c>
      <c r="M258" s="352">
        <v>1</v>
      </c>
      <c r="N258" s="353"/>
      <c r="O258" s="813">
        <f t="shared" si="11"/>
        <v>0</v>
      </c>
      <c r="P258" s="387"/>
    </row>
    <row r="259" spans="3:16" s="344" customFormat="1" ht="15.75" x14ac:dyDescent="0.25">
      <c r="C259" s="345" t="s">
        <v>50</v>
      </c>
      <c r="D259" s="597" t="s">
        <v>500</v>
      </c>
      <c r="E259" s="951" t="s">
        <v>577</v>
      </c>
      <c r="F259" s="951"/>
      <c r="G259" s="951"/>
      <c r="H259" s="951"/>
      <c r="I259" s="951"/>
      <c r="J259" s="951"/>
      <c r="K259" s="968"/>
      <c r="L259" s="600" t="s">
        <v>7</v>
      </c>
      <c r="M259" s="352">
        <v>1</v>
      </c>
      <c r="N259" s="353"/>
      <c r="O259" s="813">
        <f t="shared" si="11"/>
        <v>0</v>
      </c>
      <c r="P259" s="387"/>
    </row>
    <row r="260" spans="3:16" s="344" customFormat="1" ht="15.75" x14ac:dyDescent="0.25">
      <c r="C260" s="511" t="s">
        <v>714</v>
      </c>
      <c r="D260" s="598" t="s">
        <v>225</v>
      </c>
      <c r="E260" s="947" t="s">
        <v>226</v>
      </c>
      <c r="F260" s="947"/>
      <c r="G260" s="947"/>
      <c r="H260" s="947"/>
      <c r="I260" s="947"/>
      <c r="J260" s="947"/>
      <c r="K260" s="948"/>
      <c r="L260" s="600" t="s">
        <v>7</v>
      </c>
      <c r="M260" s="352">
        <v>3</v>
      </c>
      <c r="N260" s="353"/>
      <c r="O260" s="813">
        <f t="shared" si="11"/>
        <v>0</v>
      </c>
      <c r="P260" s="387"/>
    </row>
    <row r="261" spans="3:16" s="344" customFormat="1" ht="15.75" x14ac:dyDescent="0.25">
      <c r="C261" s="511" t="s">
        <v>714</v>
      </c>
      <c r="D261" s="599" t="s">
        <v>479</v>
      </c>
      <c r="E261" s="947" t="s">
        <v>480</v>
      </c>
      <c r="F261" s="947"/>
      <c r="G261" s="947"/>
      <c r="H261" s="947"/>
      <c r="I261" s="947"/>
      <c r="J261" s="947"/>
      <c r="K261" s="948"/>
      <c r="L261" s="600" t="s">
        <v>42</v>
      </c>
      <c r="M261" s="352">
        <v>12</v>
      </c>
      <c r="N261" s="425"/>
      <c r="O261" s="813">
        <f t="shared" si="11"/>
        <v>0</v>
      </c>
      <c r="P261" s="387"/>
    </row>
    <row r="262" spans="3:16" s="344" customFormat="1" ht="15.75" x14ac:dyDescent="0.25">
      <c r="C262" s="511" t="s">
        <v>714</v>
      </c>
      <c r="D262" s="912" t="s">
        <v>301</v>
      </c>
      <c r="E262" s="947" t="s">
        <v>302</v>
      </c>
      <c r="F262" s="947"/>
      <c r="G262" s="947"/>
      <c r="H262" s="947"/>
      <c r="I262" s="947"/>
      <c r="J262" s="947"/>
      <c r="K262" s="948"/>
      <c r="L262" s="600" t="s">
        <v>7</v>
      </c>
      <c r="M262" s="352">
        <v>7</v>
      </c>
      <c r="N262" s="353"/>
      <c r="O262" s="836">
        <f t="shared" si="11"/>
        <v>0</v>
      </c>
      <c r="P262" s="387"/>
    </row>
    <row r="263" spans="3:16" s="344" customFormat="1" ht="15.75" x14ac:dyDescent="0.25">
      <c r="C263" s="511" t="s">
        <v>714</v>
      </c>
      <c r="D263" s="924" t="s">
        <v>191</v>
      </c>
      <c r="E263" s="947" t="s">
        <v>192</v>
      </c>
      <c r="F263" s="947"/>
      <c r="G263" s="947"/>
      <c r="H263" s="947"/>
      <c r="I263" s="947"/>
      <c r="J263" s="947"/>
      <c r="K263" s="948"/>
      <c r="L263" s="600" t="s">
        <v>8</v>
      </c>
      <c r="M263" s="352">
        <v>50</v>
      </c>
      <c r="N263" s="353"/>
      <c r="O263" s="836">
        <f t="shared" si="11"/>
        <v>0</v>
      </c>
      <c r="P263" s="387"/>
    </row>
    <row r="264" spans="3:16" s="344" customFormat="1" ht="15.75" x14ac:dyDescent="0.25">
      <c r="C264" s="511" t="s">
        <v>714</v>
      </c>
      <c r="D264" s="925" t="s">
        <v>246</v>
      </c>
      <c r="E264" s="947" t="s">
        <v>247</v>
      </c>
      <c r="F264" s="947"/>
      <c r="G264" s="947"/>
      <c r="H264" s="947"/>
      <c r="I264" s="947"/>
      <c r="J264" s="947"/>
      <c r="K264" s="948"/>
      <c r="L264" s="600" t="s">
        <v>8</v>
      </c>
      <c r="M264" s="352">
        <v>138</v>
      </c>
      <c r="N264" s="353"/>
      <c r="O264" s="836">
        <f t="shared" si="11"/>
        <v>0</v>
      </c>
      <c r="P264" s="387"/>
    </row>
    <row r="265" spans="3:16" s="344" customFormat="1" ht="15.75" x14ac:dyDescent="0.25">
      <c r="C265" s="511" t="s">
        <v>714</v>
      </c>
      <c r="D265" s="599" t="s">
        <v>298</v>
      </c>
      <c r="E265" s="947" t="s">
        <v>299</v>
      </c>
      <c r="F265" s="947"/>
      <c r="G265" s="947"/>
      <c r="H265" s="947"/>
      <c r="I265" s="947"/>
      <c r="J265" s="947"/>
      <c r="K265" s="948"/>
      <c r="L265" s="600" t="s">
        <v>8</v>
      </c>
      <c r="M265" s="352">
        <v>48.04</v>
      </c>
      <c r="N265" s="353"/>
      <c r="O265" s="836">
        <f t="shared" si="11"/>
        <v>0</v>
      </c>
      <c r="P265" s="387"/>
    </row>
    <row r="266" spans="3:16" s="344" customFormat="1" ht="15.75" x14ac:dyDescent="0.25">
      <c r="C266" s="511" t="s">
        <v>714</v>
      </c>
      <c r="D266" s="599" t="s">
        <v>365</v>
      </c>
      <c r="E266" s="947" t="s">
        <v>366</v>
      </c>
      <c r="F266" s="947"/>
      <c r="G266" s="947"/>
      <c r="H266" s="947"/>
      <c r="I266" s="947"/>
      <c r="J266" s="947"/>
      <c r="K266" s="948"/>
      <c r="L266" s="600" t="s">
        <v>7</v>
      </c>
      <c r="M266" s="352">
        <v>2</v>
      </c>
      <c r="N266" s="353"/>
      <c r="O266" s="836">
        <f t="shared" si="11"/>
        <v>0</v>
      </c>
      <c r="P266" s="387"/>
    </row>
    <row r="267" spans="3:16" s="344" customFormat="1" ht="15.75" x14ac:dyDescent="0.25">
      <c r="C267" s="511" t="s">
        <v>714</v>
      </c>
      <c r="D267" s="926" t="s">
        <v>367</v>
      </c>
      <c r="E267" s="947" t="s">
        <v>368</v>
      </c>
      <c r="F267" s="947"/>
      <c r="G267" s="947"/>
      <c r="H267" s="947"/>
      <c r="I267" s="947"/>
      <c r="J267" s="947"/>
      <c r="K267" s="948"/>
      <c r="L267" s="600" t="s">
        <v>7</v>
      </c>
      <c r="M267" s="352">
        <v>15</v>
      </c>
      <c r="N267" s="353"/>
      <c r="O267" s="836">
        <f t="shared" si="11"/>
        <v>0</v>
      </c>
      <c r="P267" s="387"/>
    </row>
    <row r="268" spans="3:16" s="344" customFormat="1" ht="15.75" x14ac:dyDescent="0.25">
      <c r="C268" s="511" t="s">
        <v>714</v>
      </c>
      <c r="D268" s="731" t="s">
        <v>157</v>
      </c>
      <c r="E268" s="947" t="s">
        <v>158</v>
      </c>
      <c r="F268" s="947"/>
      <c r="G268" s="947"/>
      <c r="H268" s="947"/>
      <c r="I268" s="947"/>
      <c r="J268" s="947"/>
      <c r="K268" s="948"/>
      <c r="L268" s="600" t="s">
        <v>8</v>
      </c>
      <c r="M268" s="352">
        <v>58</v>
      </c>
      <c r="N268" s="353"/>
      <c r="O268" s="836">
        <f t="shared" si="11"/>
        <v>0</v>
      </c>
      <c r="P268" s="387"/>
    </row>
    <row r="269" spans="3:16" s="344" customFormat="1" ht="15.75" x14ac:dyDescent="0.25">
      <c r="C269" s="511" t="s">
        <v>714</v>
      </c>
      <c r="D269" s="599" t="s">
        <v>392</v>
      </c>
      <c r="E269" s="947" t="s">
        <v>393</v>
      </c>
      <c r="F269" s="947"/>
      <c r="G269" s="947"/>
      <c r="H269" s="947"/>
      <c r="I269" s="947"/>
      <c r="J269" s="947"/>
      <c r="K269" s="948"/>
      <c r="L269" s="600" t="s">
        <v>8</v>
      </c>
      <c r="M269" s="352">
        <v>200</v>
      </c>
      <c r="N269" s="353"/>
      <c r="O269" s="836">
        <f t="shared" si="11"/>
        <v>0</v>
      </c>
      <c r="P269" s="387"/>
    </row>
    <row r="270" spans="3:16" s="344" customFormat="1" ht="15.75" x14ac:dyDescent="0.25">
      <c r="C270" s="511" t="s">
        <v>714</v>
      </c>
      <c r="D270" s="924" t="s">
        <v>188</v>
      </c>
      <c r="E270" s="947" t="s">
        <v>187</v>
      </c>
      <c r="F270" s="947"/>
      <c r="G270" s="947"/>
      <c r="H270" s="947"/>
      <c r="I270" s="947"/>
      <c r="J270" s="947"/>
      <c r="K270" s="948"/>
      <c r="L270" s="600" t="s">
        <v>7</v>
      </c>
      <c r="M270" s="352">
        <v>1</v>
      </c>
      <c r="N270" s="353"/>
      <c r="O270" s="836">
        <f t="shared" si="11"/>
        <v>0</v>
      </c>
      <c r="P270" s="387"/>
    </row>
    <row r="271" spans="3:16" s="344" customFormat="1" ht="15.75" x14ac:dyDescent="0.25">
      <c r="C271" s="511" t="s">
        <v>714</v>
      </c>
      <c r="D271" s="927" t="s">
        <v>578</v>
      </c>
      <c r="E271" s="947" t="s">
        <v>579</v>
      </c>
      <c r="F271" s="947"/>
      <c r="G271" s="947"/>
      <c r="H271" s="947"/>
      <c r="I271" s="947"/>
      <c r="J271" s="947"/>
      <c r="K271" s="948"/>
      <c r="L271" s="600" t="s">
        <v>7</v>
      </c>
      <c r="M271" s="352">
        <v>7</v>
      </c>
      <c r="N271" s="353"/>
      <c r="O271" s="836">
        <f t="shared" si="11"/>
        <v>0</v>
      </c>
      <c r="P271" s="387"/>
    </row>
    <row r="272" spans="3:16" s="344" customFormat="1" ht="15.75" x14ac:dyDescent="0.25">
      <c r="C272" s="511" t="s">
        <v>715</v>
      </c>
      <c r="D272" s="928" t="s">
        <v>229</v>
      </c>
      <c r="E272" s="947" t="s">
        <v>230</v>
      </c>
      <c r="F272" s="947"/>
      <c r="G272" s="947"/>
      <c r="H272" s="947"/>
      <c r="I272" s="947"/>
      <c r="J272" s="947"/>
      <c r="K272" s="948"/>
      <c r="L272" s="600" t="s">
        <v>7</v>
      </c>
      <c r="M272" s="352">
        <v>21</v>
      </c>
      <c r="N272" s="378"/>
      <c r="O272" s="836">
        <f t="shared" si="11"/>
        <v>0</v>
      </c>
      <c r="P272" s="387"/>
    </row>
    <row r="273" spans="1:113" s="344" customFormat="1" ht="15.75" x14ac:dyDescent="0.25">
      <c r="C273" s="511" t="s">
        <v>714</v>
      </c>
      <c r="D273" s="927" t="s">
        <v>252</v>
      </c>
      <c r="E273" s="947" t="s">
        <v>251</v>
      </c>
      <c r="F273" s="947"/>
      <c r="G273" s="947"/>
      <c r="H273" s="947"/>
      <c r="I273" s="947"/>
      <c r="J273" s="947"/>
      <c r="K273" s="948"/>
      <c r="L273" s="600" t="s">
        <v>8</v>
      </c>
      <c r="M273" s="352">
        <v>53.1</v>
      </c>
      <c r="N273" s="353"/>
      <c r="O273" s="836">
        <f t="shared" si="11"/>
        <v>0</v>
      </c>
      <c r="P273" s="387"/>
    </row>
    <row r="274" spans="1:113" s="344" customFormat="1" ht="15.75" x14ac:dyDescent="0.25">
      <c r="C274" s="823" t="s">
        <v>714</v>
      </c>
      <c r="D274" s="767" t="s">
        <v>753</v>
      </c>
      <c r="E274" s="951" t="s">
        <v>754</v>
      </c>
      <c r="F274" s="951"/>
      <c r="G274" s="951"/>
      <c r="H274" s="951"/>
      <c r="I274" s="951"/>
      <c r="J274" s="951"/>
      <c r="K274" s="968"/>
      <c r="L274" s="900" t="s">
        <v>42</v>
      </c>
      <c r="M274" s="714">
        <v>10</v>
      </c>
      <c r="N274" s="711"/>
      <c r="O274" s="824">
        <f>M274*N274</f>
        <v>0</v>
      </c>
      <c r="P274" s="387"/>
    </row>
    <row r="275" spans="1:113" s="344" customFormat="1" ht="15.6" customHeight="1" x14ac:dyDescent="0.25">
      <c r="C275" s="807" t="s">
        <v>739</v>
      </c>
      <c r="D275" s="765" t="s">
        <v>791</v>
      </c>
      <c r="E275" s="1068" t="s">
        <v>785</v>
      </c>
      <c r="F275" s="1069"/>
      <c r="G275" s="1069"/>
      <c r="H275" s="1069"/>
      <c r="I275" s="1069"/>
      <c r="J275" s="1069"/>
      <c r="K275" s="1069"/>
      <c r="L275" s="759" t="s">
        <v>7</v>
      </c>
      <c r="M275" s="760">
        <v>1</v>
      </c>
      <c r="N275" s="766"/>
      <c r="O275" s="817">
        <f>M275*N275</f>
        <v>0</v>
      </c>
      <c r="P275" s="387"/>
    </row>
    <row r="276" spans="1:113" s="344" customFormat="1" ht="15.75" x14ac:dyDescent="0.25">
      <c r="C276" s="848" t="s">
        <v>50</v>
      </c>
      <c r="D276" s="901" t="s">
        <v>798</v>
      </c>
      <c r="E276" s="959" t="s">
        <v>736</v>
      </c>
      <c r="F276" s="960"/>
      <c r="G276" s="960"/>
      <c r="H276" s="960"/>
      <c r="I276" s="960"/>
      <c r="J276" s="961"/>
      <c r="K276" s="905" t="s">
        <v>7</v>
      </c>
      <c r="L276" s="871">
        <v>3998</v>
      </c>
      <c r="M276" s="522">
        <v>2</v>
      </c>
      <c r="N276" s="438"/>
      <c r="O276" s="934"/>
      <c r="P276" s="387"/>
    </row>
    <row r="277" spans="1:113" s="344" customFormat="1" ht="15.6" customHeight="1" x14ac:dyDescent="0.25">
      <c r="C277" s="849" t="s">
        <v>50</v>
      </c>
      <c r="D277" s="901" t="s">
        <v>798</v>
      </c>
      <c r="E277" s="950" t="s">
        <v>752</v>
      </c>
      <c r="F277" s="950"/>
      <c r="G277" s="950"/>
      <c r="H277" s="950"/>
      <c r="I277" s="950"/>
      <c r="J277" s="950"/>
      <c r="K277" s="890" t="s">
        <v>7</v>
      </c>
      <c r="L277" s="438">
        <v>132</v>
      </c>
      <c r="M277" s="437">
        <v>4</v>
      </c>
      <c r="N277" s="438"/>
      <c r="O277" s="873"/>
      <c r="P277" s="387"/>
    </row>
    <row r="278" spans="1:113" s="344" customFormat="1" ht="15.75" x14ac:dyDescent="0.25">
      <c r="C278" s="849" t="s">
        <v>786</v>
      </c>
      <c r="D278" s="901" t="s">
        <v>798</v>
      </c>
      <c r="E278" s="950" t="s">
        <v>745</v>
      </c>
      <c r="F278" s="950"/>
      <c r="G278" s="950"/>
      <c r="H278" s="950"/>
      <c r="I278" s="950"/>
      <c r="J278" s="950"/>
      <c r="K278" s="902" t="s">
        <v>746</v>
      </c>
      <c r="L278" s="438">
        <v>137.91</v>
      </c>
      <c r="M278" s="437">
        <v>40</v>
      </c>
      <c r="N278" s="438"/>
      <c r="O278" s="873"/>
      <c r="P278" s="387"/>
    </row>
    <row r="279" spans="1:113" s="344" customFormat="1" ht="15.75" x14ac:dyDescent="0.25">
      <c r="C279" s="849" t="s">
        <v>787</v>
      </c>
      <c r="D279" s="901" t="s">
        <v>798</v>
      </c>
      <c r="E279" s="950" t="s">
        <v>748</v>
      </c>
      <c r="F279" s="950"/>
      <c r="G279" s="950"/>
      <c r="H279" s="950"/>
      <c r="I279" s="950"/>
      <c r="J279" s="950"/>
      <c r="K279" s="903" t="s">
        <v>7</v>
      </c>
      <c r="L279" s="438">
        <v>353.67</v>
      </c>
      <c r="M279" s="437">
        <v>2</v>
      </c>
      <c r="N279" s="438"/>
      <c r="O279" s="873"/>
      <c r="P279" s="387"/>
    </row>
    <row r="280" spans="1:113" s="344" customFormat="1" ht="15.75" x14ac:dyDescent="0.25">
      <c r="C280" s="849" t="s">
        <v>788</v>
      </c>
      <c r="D280" s="901" t="s">
        <v>798</v>
      </c>
      <c r="E280" s="950" t="s">
        <v>750</v>
      </c>
      <c r="F280" s="950"/>
      <c r="G280" s="950"/>
      <c r="H280" s="950"/>
      <c r="I280" s="950"/>
      <c r="J280" s="950"/>
      <c r="K280" s="904" t="s">
        <v>8</v>
      </c>
      <c r="L280" s="438">
        <v>3.58</v>
      </c>
      <c r="M280" s="437">
        <v>36</v>
      </c>
      <c r="N280" s="438"/>
      <c r="O280" s="873"/>
      <c r="P280" s="387"/>
    </row>
    <row r="281" spans="1:113" s="344" customFormat="1" ht="15.75" x14ac:dyDescent="0.25">
      <c r="C281" s="849" t="s">
        <v>789</v>
      </c>
      <c r="D281" s="901" t="s">
        <v>798</v>
      </c>
      <c r="E281" s="950" t="s">
        <v>751</v>
      </c>
      <c r="F281" s="950"/>
      <c r="G281" s="950"/>
      <c r="H281" s="950"/>
      <c r="I281" s="950"/>
      <c r="J281" s="950"/>
      <c r="K281" s="890" t="s">
        <v>8</v>
      </c>
      <c r="L281" s="438">
        <v>8.5500000000000007</v>
      </c>
      <c r="M281" s="437">
        <v>25</v>
      </c>
      <c r="N281" s="438"/>
      <c r="O281" s="873"/>
      <c r="P281" s="387"/>
    </row>
    <row r="282" spans="1:113" s="344" customFormat="1" ht="16.5" thickBot="1" x14ac:dyDescent="0.3">
      <c r="C282" s="850" t="s">
        <v>790</v>
      </c>
      <c r="D282" s="901" t="s">
        <v>798</v>
      </c>
      <c r="E282" s="962" t="s">
        <v>754</v>
      </c>
      <c r="F282" s="963"/>
      <c r="G282" s="963"/>
      <c r="H282" s="963"/>
      <c r="I282" s="963"/>
      <c r="J282" s="964"/>
      <c r="K282" s="906" t="s">
        <v>42</v>
      </c>
      <c r="L282" s="874">
        <v>162.51</v>
      </c>
      <c r="M282" s="875">
        <v>10</v>
      </c>
      <c r="N282" s="781"/>
      <c r="O282" s="872"/>
      <c r="P282" s="936"/>
    </row>
    <row r="283" spans="1:113" s="3" customFormat="1" ht="24" customHeight="1" thickBot="1" x14ac:dyDescent="0.3">
      <c r="A283"/>
      <c r="B283"/>
      <c r="C283" s="491"/>
      <c r="D283" s="441" t="s">
        <v>1</v>
      </c>
      <c r="E283" s="988" t="s">
        <v>713</v>
      </c>
      <c r="F283" s="988"/>
      <c r="G283" s="988"/>
      <c r="H283" s="988"/>
      <c r="I283" s="988"/>
      <c r="J283" s="988"/>
      <c r="K283" s="687"/>
      <c r="L283" s="651"/>
      <c r="M283" s="652"/>
      <c r="N283" s="653"/>
      <c r="O283" s="654"/>
      <c r="P283" s="6"/>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row>
    <row r="284" spans="1:113" s="4" customFormat="1" ht="16.5" thickBot="1" x14ac:dyDescent="0.3">
      <c r="A284"/>
      <c r="B284"/>
      <c r="C284" s="696"/>
      <c r="D284" s="989" t="s">
        <v>72</v>
      </c>
      <c r="E284" s="989"/>
      <c r="F284" s="989"/>
      <c r="G284" s="989"/>
      <c r="H284" s="989"/>
      <c r="I284" s="989"/>
      <c r="J284" s="989"/>
      <c r="K284" s="989"/>
      <c r="L284" s="655"/>
      <c r="M284" s="656"/>
      <c r="N284" s="657"/>
      <c r="O284" s="658"/>
      <c r="P284" s="6"/>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row>
    <row r="285" spans="1:113" s="344" customFormat="1" ht="16.5" thickBot="1" x14ac:dyDescent="0.3">
      <c r="C285" s="717"/>
      <c r="D285" s="421"/>
      <c r="E285" s="395"/>
      <c r="F285" s="395"/>
      <c r="G285" s="395"/>
      <c r="H285" s="395"/>
      <c r="I285" s="395"/>
      <c r="J285" s="395"/>
      <c r="K285" s="395"/>
      <c r="L285" s="426"/>
      <c r="M285" s="427"/>
      <c r="N285" s="391"/>
      <c r="O285" s="392"/>
      <c r="P285" s="387"/>
    </row>
    <row r="286" spans="1:113" s="344" customFormat="1" ht="15.75" x14ac:dyDescent="0.25">
      <c r="C286" s="345" t="s">
        <v>714</v>
      </c>
      <c r="D286" s="914" t="s">
        <v>301</v>
      </c>
      <c r="E286" s="947" t="s">
        <v>302</v>
      </c>
      <c r="F286" s="947"/>
      <c r="G286" s="947"/>
      <c r="H286" s="947"/>
      <c r="I286" s="947"/>
      <c r="J286" s="947"/>
      <c r="K286" s="949"/>
      <c r="L286" s="682" t="s">
        <v>7</v>
      </c>
      <c r="M286" s="352">
        <v>11</v>
      </c>
      <c r="N286" s="353"/>
      <c r="O286" s="797">
        <f t="shared" ref="O286:O294" si="12">N286*M286</f>
        <v>0</v>
      </c>
      <c r="P286" s="387"/>
    </row>
    <row r="287" spans="1:113" s="344" customFormat="1" ht="15.75" x14ac:dyDescent="0.25">
      <c r="C287" s="345" t="s">
        <v>714</v>
      </c>
      <c r="D287" s="929" t="s">
        <v>349</v>
      </c>
      <c r="E287" s="947" t="s">
        <v>350</v>
      </c>
      <c r="F287" s="947"/>
      <c r="G287" s="947"/>
      <c r="H287" s="947"/>
      <c r="I287" s="947"/>
      <c r="J287" s="947"/>
      <c r="K287" s="949"/>
      <c r="L287" s="682" t="s">
        <v>8</v>
      </c>
      <c r="M287" s="352">
        <v>26.75</v>
      </c>
      <c r="N287" s="353"/>
      <c r="O287" s="797">
        <f t="shared" si="12"/>
        <v>0</v>
      </c>
      <c r="P287" s="387"/>
    </row>
    <row r="288" spans="1:113" s="344" customFormat="1" ht="15.75" x14ac:dyDescent="0.25">
      <c r="C288" s="345" t="s">
        <v>714</v>
      </c>
      <c r="D288" s="358" t="s">
        <v>26</v>
      </c>
      <c r="E288" s="947" t="s">
        <v>27</v>
      </c>
      <c r="F288" s="947"/>
      <c r="G288" s="947"/>
      <c r="H288" s="947"/>
      <c r="I288" s="947"/>
      <c r="J288" s="947"/>
      <c r="K288" s="949"/>
      <c r="L288" s="682" t="s">
        <v>8</v>
      </c>
      <c r="M288" s="352">
        <v>180</v>
      </c>
      <c r="N288" s="353"/>
      <c r="O288" s="797">
        <f t="shared" si="12"/>
        <v>0</v>
      </c>
      <c r="P288" s="387"/>
    </row>
    <row r="289" spans="3:16" s="344" customFormat="1" ht="15.75" x14ac:dyDescent="0.25">
      <c r="C289" s="345" t="s">
        <v>714</v>
      </c>
      <c r="D289" s="915" t="s">
        <v>30</v>
      </c>
      <c r="E289" s="947" t="s">
        <v>31</v>
      </c>
      <c r="F289" s="947"/>
      <c r="G289" s="947"/>
      <c r="H289" s="947"/>
      <c r="I289" s="947"/>
      <c r="J289" s="947"/>
      <c r="K289" s="949"/>
      <c r="L289" s="682" t="s">
        <v>8</v>
      </c>
      <c r="M289" s="352">
        <v>700</v>
      </c>
      <c r="N289" s="353"/>
      <c r="O289" s="797">
        <f t="shared" si="12"/>
        <v>0</v>
      </c>
      <c r="P289" s="387"/>
    </row>
    <row r="290" spans="3:16" s="344" customFormat="1" ht="15.75" x14ac:dyDescent="0.25">
      <c r="C290" s="345" t="s">
        <v>714</v>
      </c>
      <c r="D290" s="915" t="s">
        <v>28</v>
      </c>
      <c r="E290" s="947" t="s">
        <v>29</v>
      </c>
      <c r="F290" s="947"/>
      <c r="G290" s="947"/>
      <c r="H290" s="947"/>
      <c r="I290" s="947"/>
      <c r="J290" s="947"/>
      <c r="K290" s="949"/>
      <c r="L290" s="682" t="s">
        <v>7</v>
      </c>
      <c r="M290" s="352">
        <v>13</v>
      </c>
      <c r="N290" s="353"/>
      <c r="O290" s="797">
        <f t="shared" si="12"/>
        <v>0</v>
      </c>
      <c r="P290" s="387"/>
    </row>
    <row r="291" spans="3:16" s="344" customFormat="1" ht="15.75" x14ac:dyDescent="0.25">
      <c r="C291" s="345" t="s">
        <v>714</v>
      </c>
      <c r="D291" s="599" t="s">
        <v>438</v>
      </c>
      <c r="E291" s="947" t="s">
        <v>439</v>
      </c>
      <c r="F291" s="947"/>
      <c r="G291" s="947"/>
      <c r="H291" s="947"/>
      <c r="I291" s="947"/>
      <c r="J291" s="947"/>
      <c r="K291" s="949"/>
      <c r="L291" s="682" t="s">
        <v>7</v>
      </c>
      <c r="M291" s="352">
        <v>4</v>
      </c>
      <c r="N291" s="353"/>
      <c r="O291" s="797">
        <f t="shared" si="12"/>
        <v>0</v>
      </c>
      <c r="P291" s="387"/>
    </row>
    <row r="292" spans="3:16" s="344" customFormat="1" ht="15.75" x14ac:dyDescent="0.25">
      <c r="C292" s="345" t="s">
        <v>714</v>
      </c>
      <c r="D292" s="930" t="s">
        <v>440</v>
      </c>
      <c r="E292" s="947" t="s">
        <v>441</v>
      </c>
      <c r="F292" s="947"/>
      <c r="G292" s="947"/>
      <c r="H292" s="947"/>
      <c r="I292" s="947"/>
      <c r="J292" s="947"/>
      <c r="K292" s="949"/>
      <c r="L292" s="682" t="s">
        <v>7</v>
      </c>
      <c r="M292" s="352">
        <v>233.65</v>
      </c>
      <c r="N292" s="353"/>
      <c r="O292" s="797">
        <f t="shared" si="12"/>
        <v>0</v>
      </c>
      <c r="P292" s="387"/>
    </row>
    <row r="293" spans="3:16" s="344" customFormat="1" ht="15.75" x14ac:dyDescent="0.25">
      <c r="C293" s="345" t="s">
        <v>714</v>
      </c>
      <c r="D293" s="358" t="s">
        <v>58</v>
      </c>
      <c r="E293" s="947" t="s">
        <v>59</v>
      </c>
      <c r="F293" s="947"/>
      <c r="G293" s="947"/>
      <c r="H293" s="947"/>
      <c r="I293" s="947"/>
      <c r="J293" s="947"/>
      <c r="K293" s="949"/>
      <c r="L293" s="682" t="s">
        <v>48</v>
      </c>
      <c r="M293" s="352">
        <v>233.65</v>
      </c>
      <c r="N293" s="353"/>
      <c r="O293" s="813">
        <f t="shared" si="12"/>
        <v>0</v>
      </c>
      <c r="P293" s="387"/>
    </row>
    <row r="294" spans="3:16" s="344" customFormat="1" ht="14.45" customHeight="1" x14ac:dyDescent="0.25">
      <c r="C294" s="1" t="s">
        <v>714</v>
      </c>
      <c r="D294" s="716" t="s">
        <v>20</v>
      </c>
      <c r="E294" s="951" t="s">
        <v>21</v>
      </c>
      <c r="F294" s="951"/>
      <c r="G294" s="951"/>
      <c r="H294" s="951"/>
      <c r="I294" s="951"/>
      <c r="J294" s="951"/>
      <c r="K294" s="952"/>
      <c r="L294" s="682" t="s">
        <v>8</v>
      </c>
      <c r="M294" s="352">
        <v>141.80000000000001</v>
      </c>
      <c r="N294" s="353"/>
      <c r="O294" s="813">
        <f t="shared" si="12"/>
        <v>0</v>
      </c>
      <c r="P294" s="387"/>
    </row>
    <row r="295" spans="3:16" s="344" customFormat="1" ht="15.75" x14ac:dyDescent="0.25">
      <c r="C295" s="788"/>
      <c r="D295" s="789" t="s">
        <v>376</v>
      </c>
      <c r="E295" s="1070" t="s">
        <v>800</v>
      </c>
      <c r="F295" s="1070"/>
      <c r="G295" s="1070"/>
      <c r="H295" s="1070"/>
      <c r="I295" s="1070"/>
      <c r="J295" s="1070"/>
      <c r="K295" s="1070"/>
      <c r="L295" s="908" t="s">
        <v>7</v>
      </c>
      <c r="M295" s="790">
        <v>2</v>
      </c>
      <c r="N295" s="791"/>
      <c r="O295" s="842">
        <f>M295*N295</f>
        <v>0</v>
      </c>
      <c r="P295" s="387"/>
    </row>
    <row r="296" spans="3:16" s="344" customFormat="1" ht="15.6" customHeight="1" x14ac:dyDescent="0.25">
      <c r="C296" s="376" t="s">
        <v>801</v>
      </c>
      <c r="D296" s="787" t="s">
        <v>802</v>
      </c>
      <c r="E296" s="1071" t="s">
        <v>580</v>
      </c>
      <c r="F296" s="1071"/>
      <c r="G296" s="1071"/>
      <c r="H296" s="1071"/>
      <c r="I296" s="1071"/>
      <c r="J296" s="1071"/>
      <c r="K296" s="909" t="s">
        <v>7</v>
      </c>
      <c r="L296" s="738">
        <v>41700</v>
      </c>
      <c r="M296" s="352">
        <v>1</v>
      </c>
      <c r="N296" s="785"/>
      <c r="O296" s="800"/>
      <c r="P296" s="387"/>
    </row>
    <row r="297" spans="3:16" s="344" customFormat="1" ht="15.6" customHeight="1" x14ac:dyDescent="0.25">
      <c r="C297" s="359" t="s">
        <v>446</v>
      </c>
      <c r="D297" s="893" t="s">
        <v>802</v>
      </c>
      <c r="E297" s="950" t="s">
        <v>448</v>
      </c>
      <c r="F297" s="950"/>
      <c r="G297" s="950"/>
      <c r="H297" s="950"/>
      <c r="I297" s="950"/>
      <c r="J297" s="950"/>
      <c r="K297" s="881" t="s">
        <v>7</v>
      </c>
      <c r="L297" s="515">
        <v>1.04</v>
      </c>
      <c r="M297" s="437">
        <v>10</v>
      </c>
      <c r="N297" s="516"/>
      <c r="O297" s="803"/>
      <c r="P297" s="387"/>
    </row>
    <row r="298" spans="3:16" s="344" customFormat="1" ht="15.6" customHeight="1" x14ac:dyDescent="0.25">
      <c r="C298" s="359" t="s">
        <v>446</v>
      </c>
      <c r="D298" s="893" t="s">
        <v>802</v>
      </c>
      <c r="E298" s="950" t="s">
        <v>449</v>
      </c>
      <c r="F298" s="950"/>
      <c r="G298" s="950"/>
      <c r="H298" s="950"/>
      <c r="I298" s="950"/>
      <c r="J298" s="950"/>
      <c r="K298" s="882" t="s">
        <v>450</v>
      </c>
      <c r="L298" s="515">
        <v>487.16</v>
      </c>
      <c r="M298" s="437">
        <v>3</v>
      </c>
      <c r="N298" s="516"/>
      <c r="O298" s="803"/>
      <c r="P298" s="387"/>
    </row>
    <row r="299" spans="3:16" s="344" customFormat="1" ht="15.6" customHeight="1" x14ac:dyDescent="0.25">
      <c r="C299" s="359" t="s">
        <v>446</v>
      </c>
      <c r="D299" s="894" t="s">
        <v>802</v>
      </c>
      <c r="E299" s="950" t="s">
        <v>451</v>
      </c>
      <c r="F299" s="950"/>
      <c r="G299" s="950"/>
      <c r="H299" s="950"/>
      <c r="I299" s="950"/>
      <c r="J299" s="950"/>
      <c r="K299" s="882" t="s">
        <v>452</v>
      </c>
      <c r="L299" s="515">
        <v>135.71</v>
      </c>
      <c r="M299" s="437">
        <v>3</v>
      </c>
      <c r="N299" s="516"/>
      <c r="O299" s="803"/>
      <c r="P299" s="387"/>
    </row>
    <row r="300" spans="3:16" s="344" customFormat="1" ht="15.6" customHeight="1" x14ac:dyDescent="0.25">
      <c r="C300" s="359" t="s">
        <v>446</v>
      </c>
      <c r="D300" s="893" t="s">
        <v>802</v>
      </c>
      <c r="E300" s="950" t="s">
        <v>453</v>
      </c>
      <c r="F300" s="950"/>
      <c r="G300" s="950"/>
      <c r="H300" s="950"/>
      <c r="I300" s="950"/>
      <c r="J300" s="950"/>
      <c r="K300" s="882" t="s">
        <v>42</v>
      </c>
      <c r="L300" s="515">
        <v>130.35</v>
      </c>
      <c r="M300" s="437">
        <v>3</v>
      </c>
      <c r="N300" s="516"/>
      <c r="O300" s="803"/>
      <c r="P300" s="387"/>
    </row>
    <row r="301" spans="3:16" s="344" customFormat="1" ht="15.6" customHeight="1" x14ac:dyDescent="0.25">
      <c r="C301" s="359" t="s">
        <v>446</v>
      </c>
      <c r="D301" s="894" t="s">
        <v>802</v>
      </c>
      <c r="E301" s="950" t="s">
        <v>454</v>
      </c>
      <c r="F301" s="950"/>
      <c r="G301" s="950"/>
      <c r="H301" s="950"/>
      <c r="I301" s="950"/>
      <c r="J301" s="950"/>
      <c r="K301" s="882" t="s">
        <v>42</v>
      </c>
      <c r="L301" s="515">
        <v>146.91</v>
      </c>
      <c r="M301" s="437">
        <v>3</v>
      </c>
      <c r="N301" s="516"/>
      <c r="O301" s="803"/>
      <c r="P301" s="387"/>
    </row>
    <row r="302" spans="3:16" s="344" customFormat="1" ht="15.6" customHeight="1" x14ac:dyDescent="0.25">
      <c r="C302" s="359" t="s">
        <v>455</v>
      </c>
      <c r="D302" s="893" t="s">
        <v>802</v>
      </c>
      <c r="E302" s="950" t="s">
        <v>456</v>
      </c>
      <c r="F302" s="950"/>
      <c r="G302" s="950"/>
      <c r="H302" s="950"/>
      <c r="I302" s="950"/>
      <c r="J302" s="950"/>
      <c r="K302" s="882" t="s">
        <v>7</v>
      </c>
      <c r="L302" s="517">
        <v>607.70000000000005</v>
      </c>
      <c r="M302" s="437">
        <v>1</v>
      </c>
      <c r="N302" s="516"/>
      <c r="O302" s="803"/>
      <c r="P302" s="387"/>
    </row>
    <row r="303" spans="3:16" s="344" customFormat="1" ht="15.6" customHeight="1" x14ac:dyDescent="0.25">
      <c r="C303" s="359" t="s">
        <v>457</v>
      </c>
      <c r="D303" s="894" t="s">
        <v>802</v>
      </c>
      <c r="E303" s="950" t="s">
        <v>458</v>
      </c>
      <c r="F303" s="950"/>
      <c r="G303" s="950"/>
      <c r="H303" s="950"/>
      <c r="I303" s="950"/>
      <c r="J303" s="950"/>
      <c r="K303" s="882" t="s">
        <v>7</v>
      </c>
      <c r="L303" s="518">
        <v>29.091100000000001</v>
      </c>
      <c r="M303" s="437">
        <v>4</v>
      </c>
      <c r="N303" s="516"/>
      <c r="O303" s="804"/>
      <c r="P303" s="387"/>
    </row>
    <row r="304" spans="3:16" s="344" customFormat="1" ht="15.6" customHeight="1" x14ac:dyDescent="0.25">
      <c r="C304" s="359" t="s">
        <v>459</v>
      </c>
      <c r="D304" s="893" t="s">
        <v>802</v>
      </c>
      <c r="E304" s="950" t="s">
        <v>460</v>
      </c>
      <c r="F304" s="950"/>
      <c r="G304" s="950"/>
      <c r="H304" s="950"/>
      <c r="I304" s="950"/>
      <c r="J304" s="950"/>
      <c r="K304" s="882" t="s">
        <v>7</v>
      </c>
      <c r="L304" s="518">
        <v>17.5</v>
      </c>
      <c r="M304" s="437">
        <v>4</v>
      </c>
      <c r="N304" s="516"/>
      <c r="O304" s="803"/>
      <c r="P304" s="387"/>
    </row>
    <row r="305" spans="3:16" s="344" customFormat="1" ht="15.6" customHeight="1" x14ac:dyDescent="0.25">
      <c r="C305" s="360" t="s">
        <v>461</v>
      </c>
      <c r="D305" s="910" t="s">
        <v>802</v>
      </c>
      <c r="E305" s="965" t="s">
        <v>462</v>
      </c>
      <c r="F305" s="965"/>
      <c r="G305" s="965"/>
      <c r="H305" s="965"/>
      <c r="I305" s="965"/>
      <c r="J305" s="965"/>
      <c r="K305" s="907" t="s">
        <v>48</v>
      </c>
      <c r="L305" s="518">
        <v>12.68</v>
      </c>
      <c r="M305" s="437">
        <f>(9.68*6)</f>
        <v>58.08</v>
      </c>
      <c r="N305" s="516"/>
      <c r="O305" s="846"/>
      <c r="P305" s="387"/>
    </row>
    <row r="306" spans="3:16" s="344" customFormat="1" x14ac:dyDescent="0.25">
      <c r="C306" s="966"/>
      <c r="D306" s="966"/>
      <c r="E306" s="966"/>
      <c r="F306" s="966"/>
      <c r="G306" s="966"/>
      <c r="H306" s="966"/>
      <c r="I306" s="966"/>
      <c r="J306" s="966"/>
      <c r="K306" s="967"/>
      <c r="L306" s="911"/>
      <c r="M306" s="784"/>
      <c r="N306" s="786"/>
      <c r="O306" s="812"/>
      <c r="P306" s="387"/>
    </row>
    <row r="307" spans="3:16" s="344" customFormat="1" ht="15.75" x14ac:dyDescent="0.25">
      <c r="C307" s="361" t="s">
        <v>50</v>
      </c>
      <c r="D307" s="362" t="s">
        <v>493</v>
      </c>
      <c r="E307" s="951" t="s">
        <v>582</v>
      </c>
      <c r="F307" s="951"/>
      <c r="G307" s="951"/>
      <c r="H307" s="951"/>
      <c r="I307" s="951"/>
      <c r="J307" s="951"/>
      <c r="K307" s="952"/>
      <c r="L307" s="682" t="s">
        <v>7</v>
      </c>
      <c r="M307" s="352">
        <v>1</v>
      </c>
      <c r="N307" s="353"/>
      <c r="O307" s="813">
        <f>N307*M307</f>
        <v>0</v>
      </c>
      <c r="P307" s="387"/>
    </row>
    <row r="308" spans="3:16" s="344" customFormat="1" ht="15.75" x14ac:dyDescent="0.25">
      <c r="C308" s="361" t="s">
        <v>50</v>
      </c>
      <c r="D308" s="364" t="s">
        <v>493</v>
      </c>
      <c r="E308" s="951" t="s">
        <v>583</v>
      </c>
      <c r="F308" s="951"/>
      <c r="G308" s="951"/>
      <c r="H308" s="951"/>
      <c r="I308" s="951"/>
      <c r="J308" s="951"/>
      <c r="K308" s="952"/>
      <c r="L308" s="682" t="s">
        <v>7</v>
      </c>
      <c r="M308" s="352">
        <v>1</v>
      </c>
      <c r="N308" s="353"/>
      <c r="O308" s="813">
        <f t="shared" ref="O308:O323" si="13">N308*M308</f>
        <v>0</v>
      </c>
      <c r="P308" s="387"/>
    </row>
    <row r="309" spans="3:16" s="344" customFormat="1" ht="15.75" x14ac:dyDescent="0.25">
      <c r="C309" s="361" t="s">
        <v>50</v>
      </c>
      <c r="D309" s="364" t="s">
        <v>551</v>
      </c>
      <c r="E309" s="951" t="s">
        <v>584</v>
      </c>
      <c r="F309" s="951"/>
      <c r="G309" s="951"/>
      <c r="H309" s="951"/>
      <c r="I309" s="951"/>
      <c r="J309" s="951"/>
      <c r="K309" s="952"/>
      <c r="L309" s="682" t="s">
        <v>7</v>
      </c>
      <c r="M309" s="352">
        <v>1</v>
      </c>
      <c r="N309" s="353"/>
      <c r="O309" s="813">
        <f t="shared" si="13"/>
        <v>0</v>
      </c>
      <c r="P309" s="387"/>
    </row>
    <row r="310" spans="3:16" s="344" customFormat="1" ht="15.75" x14ac:dyDescent="0.25">
      <c r="C310" s="361" t="s">
        <v>50</v>
      </c>
      <c r="D310" s="364" t="s">
        <v>500</v>
      </c>
      <c r="E310" s="951" t="s">
        <v>585</v>
      </c>
      <c r="F310" s="951"/>
      <c r="G310" s="951"/>
      <c r="H310" s="951"/>
      <c r="I310" s="951"/>
      <c r="J310" s="951"/>
      <c r="K310" s="952"/>
      <c r="L310" s="682" t="s">
        <v>7</v>
      </c>
      <c r="M310" s="352">
        <v>1</v>
      </c>
      <c r="N310" s="353"/>
      <c r="O310" s="813">
        <f t="shared" si="13"/>
        <v>0</v>
      </c>
      <c r="P310" s="387"/>
    </row>
    <row r="311" spans="3:16" s="344" customFormat="1" ht="15.75" x14ac:dyDescent="0.25">
      <c r="C311" s="361" t="s">
        <v>50</v>
      </c>
      <c r="D311" s="364" t="s">
        <v>551</v>
      </c>
      <c r="E311" s="951" t="s">
        <v>586</v>
      </c>
      <c r="F311" s="951"/>
      <c r="G311" s="951"/>
      <c r="H311" s="951"/>
      <c r="I311" s="951"/>
      <c r="J311" s="951"/>
      <c r="K311" s="952"/>
      <c r="L311" s="682" t="s">
        <v>7</v>
      </c>
      <c r="M311" s="352">
        <v>2</v>
      </c>
      <c r="N311" s="353"/>
      <c r="O311" s="813">
        <f t="shared" si="13"/>
        <v>0</v>
      </c>
      <c r="P311" s="387"/>
    </row>
    <row r="312" spans="3:16" s="344" customFormat="1" ht="15.75" x14ac:dyDescent="0.25">
      <c r="C312" s="361" t="s">
        <v>50</v>
      </c>
      <c r="D312" s="364" t="s">
        <v>551</v>
      </c>
      <c r="E312" s="951" t="s">
        <v>509</v>
      </c>
      <c r="F312" s="951"/>
      <c r="G312" s="951"/>
      <c r="H312" s="951"/>
      <c r="I312" s="951"/>
      <c r="J312" s="951"/>
      <c r="K312" s="952"/>
      <c r="L312" s="682" t="s">
        <v>7</v>
      </c>
      <c r="M312" s="352">
        <v>1</v>
      </c>
      <c r="N312" s="353"/>
      <c r="O312" s="813">
        <f t="shared" si="13"/>
        <v>0</v>
      </c>
      <c r="P312" s="387"/>
    </row>
    <row r="313" spans="3:16" s="344" customFormat="1" ht="15.75" x14ac:dyDescent="0.25">
      <c r="C313" s="361" t="s">
        <v>50</v>
      </c>
      <c r="D313" s="364" t="s">
        <v>551</v>
      </c>
      <c r="E313" s="951" t="s">
        <v>584</v>
      </c>
      <c r="F313" s="951"/>
      <c r="G313" s="951"/>
      <c r="H313" s="951"/>
      <c r="I313" s="951"/>
      <c r="J313" s="951"/>
      <c r="K313" s="952"/>
      <c r="L313" s="682" t="s">
        <v>7</v>
      </c>
      <c r="M313" s="352">
        <v>1</v>
      </c>
      <c r="N313" s="353"/>
      <c r="O313" s="813">
        <f t="shared" si="13"/>
        <v>0</v>
      </c>
      <c r="P313" s="387"/>
    </row>
    <row r="314" spans="3:16" s="344" customFormat="1" ht="15.75" x14ac:dyDescent="0.25">
      <c r="C314" s="361" t="s">
        <v>50</v>
      </c>
      <c r="D314" s="364" t="s">
        <v>500</v>
      </c>
      <c r="E314" s="951" t="s">
        <v>585</v>
      </c>
      <c r="F314" s="951"/>
      <c r="G314" s="951"/>
      <c r="H314" s="951"/>
      <c r="I314" s="951"/>
      <c r="J314" s="951"/>
      <c r="K314" s="952"/>
      <c r="L314" s="682" t="s">
        <v>7</v>
      </c>
      <c r="M314" s="352">
        <v>1</v>
      </c>
      <c r="N314" s="353"/>
      <c r="O314" s="813">
        <f t="shared" si="13"/>
        <v>0</v>
      </c>
      <c r="P314" s="387"/>
    </row>
    <row r="315" spans="3:16" s="344" customFormat="1" ht="15.75" x14ac:dyDescent="0.25">
      <c r="C315" s="361" t="s">
        <v>50</v>
      </c>
      <c r="D315" s="364" t="s">
        <v>551</v>
      </c>
      <c r="E315" s="951" t="s">
        <v>587</v>
      </c>
      <c r="F315" s="951"/>
      <c r="G315" s="951"/>
      <c r="H315" s="951"/>
      <c r="I315" s="951"/>
      <c r="J315" s="951"/>
      <c r="K315" s="952"/>
      <c r="L315" s="682" t="s">
        <v>7</v>
      </c>
      <c r="M315" s="352">
        <v>1</v>
      </c>
      <c r="N315" s="353"/>
      <c r="O315" s="813">
        <f t="shared" si="13"/>
        <v>0</v>
      </c>
      <c r="P315" s="387"/>
    </row>
    <row r="316" spans="3:16" s="344" customFormat="1" ht="15.75" x14ac:dyDescent="0.25">
      <c r="C316" s="361" t="s">
        <v>50</v>
      </c>
      <c r="D316" s="364" t="s">
        <v>539</v>
      </c>
      <c r="E316" s="951" t="s">
        <v>503</v>
      </c>
      <c r="F316" s="951"/>
      <c r="G316" s="951"/>
      <c r="H316" s="951"/>
      <c r="I316" s="951"/>
      <c r="J316" s="951"/>
      <c r="K316" s="952"/>
      <c r="L316" s="682" t="s">
        <v>7</v>
      </c>
      <c r="M316" s="352">
        <v>1</v>
      </c>
      <c r="N316" s="353"/>
      <c r="O316" s="813">
        <f t="shared" si="13"/>
        <v>0</v>
      </c>
      <c r="P316" s="387"/>
    </row>
    <row r="317" spans="3:16" s="344" customFormat="1" ht="15.75" x14ac:dyDescent="0.25">
      <c r="C317" s="361" t="s">
        <v>50</v>
      </c>
      <c r="D317" s="364" t="s">
        <v>504</v>
      </c>
      <c r="E317" s="951" t="s">
        <v>588</v>
      </c>
      <c r="F317" s="951"/>
      <c r="G317" s="951"/>
      <c r="H317" s="951"/>
      <c r="I317" s="951"/>
      <c r="J317" s="951"/>
      <c r="K317" s="952"/>
      <c r="L317" s="682" t="s">
        <v>7</v>
      </c>
      <c r="M317" s="352">
        <v>1</v>
      </c>
      <c r="N317" s="353"/>
      <c r="O317" s="813">
        <f t="shared" si="13"/>
        <v>0</v>
      </c>
      <c r="P317" s="387"/>
    </row>
    <row r="318" spans="3:16" s="344" customFormat="1" ht="15.75" x14ac:dyDescent="0.25">
      <c r="C318" s="361" t="s">
        <v>50</v>
      </c>
      <c r="D318" s="364" t="s">
        <v>500</v>
      </c>
      <c r="E318" s="951" t="s">
        <v>585</v>
      </c>
      <c r="F318" s="951"/>
      <c r="G318" s="951"/>
      <c r="H318" s="951"/>
      <c r="I318" s="951"/>
      <c r="J318" s="951"/>
      <c r="K318" s="952"/>
      <c r="L318" s="682" t="s">
        <v>7</v>
      </c>
      <c r="M318" s="352">
        <v>1</v>
      </c>
      <c r="N318" s="353"/>
      <c r="O318" s="813">
        <f t="shared" si="13"/>
        <v>0</v>
      </c>
      <c r="P318" s="387"/>
    </row>
    <row r="319" spans="3:16" s="344" customFormat="1" ht="15.75" x14ac:dyDescent="0.25">
      <c r="C319" s="361" t="s">
        <v>50</v>
      </c>
      <c r="D319" s="364" t="s">
        <v>497</v>
      </c>
      <c r="E319" s="951" t="s">
        <v>589</v>
      </c>
      <c r="F319" s="951"/>
      <c r="G319" s="951"/>
      <c r="H319" s="951"/>
      <c r="I319" s="951"/>
      <c r="J319" s="951"/>
      <c r="K319" s="952"/>
      <c r="L319" s="682" t="s">
        <v>7</v>
      </c>
      <c r="M319" s="352">
        <v>1</v>
      </c>
      <c r="N319" s="353"/>
      <c r="O319" s="813">
        <f t="shared" si="13"/>
        <v>0</v>
      </c>
      <c r="P319" s="387"/>
    </row>
    <row r="320" spans="3:16" s="344" customFormat="1" ht="15.75" x14ac:dyDescent="0.25">
      <c r="C320" s="361" t="s">
        <v>50</v>
      </c>
      <c r="D320" s="365" t="s">
        <v>154</v>
      </c>
      <c r="E320" s="951" t="s">
        <v>590</v>
      </c>
      <c r="F320" s="951"/>
      <c r="G320" s="951"/>
      <c r="H320" s="951"/>
      <c r="I320" s="951"/>
      <c r="J320" s="951"/>
      <c r="K320" s="952"/>
      <c r="L320" s="682" t="s">
        <v>7</v>
      </c>
      <c r="M320" s="352">
        <v>1</v>
      </c>
      <c r="N320" s="353"/>
      <c r="O320" s="813">
        <f t="shared" si="13"/>
        <v>0</v>
      </c>
      <c r="P320" s="387"/>
    </row>
    <row r="321" spans="1:113" s="344" customFormat="1" ht="15.75" x14ac:dyDescent="0.25">
      <c r="C321" s="694" t="s">
        <v>50</v>
      </c>
      <c r="D321" s="366" t="s">
        <v>591</v>
      </c>
      <c r="E321" s="951" t="s">
        <v>592</v>
      </c>
      <c r="F321" s="951"/>
      <c r="G321" s="951"/>
      <c r="H321" s="951"/>
      <c r="I321" s="951"/>
      <c r="J321" s="951"/>
      <c r="K321" s="952"/>
      <c r="L321" s="682" t="s">
        <v>7</v>
      </c>
      <c r="M321" s="352">
        <v>2</v>
      </c>
      <c r="N321" s="353"/>
      <c r="O321" s="813">
        <f t="shared" si="13"/>
        <v>0</v>
      </c>
      <c r="P321" s="387"/>
    </row>
    <row r="322" spans="1:113" s="344" customFormat="1" ht="15.75" x14ac:dyDescent="0.25">
      <c r="C322" s="694" t="s">
        <v>714</v>
      </c>
      <c r="D322" s="689" t="s">
        <v>225</v>
      </c>
      <c r="E322" s="951" t="s">
        <v>226</v>
      </c>
      <c r="F322" s="951"/>
      <c r="G322" s="951"/>
      <c r="H322" s="951"/>
      <c r="I322" s="951"/>
      <c r="J322" s="951"/>
      <c r="K322" s="952"/>
      <c r="L322" s="682" t="s">
        <v>7</v>
      </c>
      <c r="M322" s="352">
        <v>14</v>
      </c>
      <c r="N322" s="353"/>
      <c r="O322" s="813">
        <f t="shared" si="13"/>
        <v>0</v>
      </c>
      <c r="P322" s="387"/>
    </row>
    <row r="323" spans="1:113" s="344" customFormat="1" ht="15.75" x14ac:dyDescent="0.25">
      <c r="C323" s="355" t="s">
        <v>714</v>
      </c>
      <c r="D323" s="428" t="s">
        <v>479</v>
      </c>
      <c r="E323" s="951" t="s">
        <v>480</v>
      </c>
      <c r="F323" s="951"/>
      <c r="G323" s="951"/>
      <c r="H323" s="951"/>
      <c r="I323" s="951"/>
      <c r="J323" s="951"/>
      <c r="K323" s="952"/>
      <c r="L323" s="683" t="s">
        <v>42</v>
      </c>
      <c r="M323" s="424">
        <v>12</v>
      </c>
      <c r="N323" s="425"/>
      <c r="O323" s="800">
        <f t="shared" si="13"/>
        <v>0</v>
      </c>
      <c r="P323" s="387"/>
    </row>
    <row r="324" spans="1:113" s="344" customFormat="1" ht="15.6" customHeight="1" thickBot="1" x14ac:dyDescent="0.3">
      <c r="C324" s="854" t="s">
        <v>714</v>
      </c>
      <c r="D324" s="855" t="s">
        <v>753</v>
      </c>
      <c r="E324" s="951" t="s">
        <v>754</v>
      </c>
      <c r="F324" s="951"/>
      <c r="G324" s="951"/>
      <c r="H324" s="951"/>
      <c r="I324" s="951"/>
      <c r="J324" s="951"/>
      <c r="K324" s="952"/>
      <c r="L324" s="856" t="s">
        <v>42</v>
      </c>
      <c r="M324" s="857">
        <v>10</v>
      </c>
      <c r="N324" s="713"/>
      <c r="O324" s="858">
        <f>M324*N324</f>
        <v>0</v>
      </c>
      <c r="P324" s="936"/>
    </row>
    <row r="325" spans="1:113" s="3" customFormat="1" ht="16.5" thickBot="1" x14ac:dyDescent="0.3">
      <c r="A325"/>
      <c r="B325"/>
      <c r="C325" s="491"/>
      <c r="D325" s="441" t="s">
        <v>1</v>
      </c>
      <c r="E325" s="988" t="s">
        <v>713</v>
      </c>
      <c r="F325" s="988"/>
      <c r="G325" s="988"/>
      <c r="H325" s="988"/>
      <c r="I325" s="988"/>
      <c r="J325" s="988"/>
      <c r="K325" s="687"/>
      <c r="L325" s="651"/>
      <c r="M325" s="652"/>
      <c r="N325" s="653"/>
      <c r="O325" s="654"/>
      <c r="P325" s="6"/>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row>
    <row r="326" spans="1:113" s="4" customFormat="1" ht="16.5" thickBot="1" x14ac:dyDescent="0.3">
      <c r="A326"/>
      <c r="B326"/>
      <c r="C326" s="416"/>
      <c r="D326" s="1025" t="s">
        <v>76</v>
      </c>
      <c r="E326" s="1025"/>
      <c r="F326" s="1025"/>
      <c r="G326" s="1025"/>
      <c r="H326" s="1025"/>
      <c r="I326" s="1025"/>
      <c r="J326" s="1025"/>
      <c r="K326" s="1025"/>
      <c r="L326" s="417"/>
      <c r="M326" s="418"/>
      <c r="N326" s="419"/>
      <c r="O326" s="420"/>
      <c r="P326" s="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row>
    <row r="327" spans="1:113" s="344" customFormat="1" ht="16.5" thickBot="1" x14ac:dyDescent="0.3">
      <c r="C327" s="393"/>
      <c r="D327" s="421"/>
      <c r="E327" s="422"/>
      <c r="F327" s="422"/>
      <c r="G327" s="422"/>
      <c r="H327" s="422"/>
      <c r="I327" s="422"/>
      <c r="J327" s="422"/>
      <c r="K327" s="422"/>
      <c r="L327" s="421"/>
      <c r="M327" s="397"/>
      <c r="N327" s="398"/>
      <c r="O327" s="399"/>
      <c r="P327" s="387"/>
    </row>
    <row r="328" spans="1:113" s="344" customFormat="1" ht="15.75" x14ac:dyDescent="0.25">
      <c r="C328" s="369" t="s">
        <v>714</v>
      </c>
      <c r="D328" s="915" t="s">
        <v>73</v>
      </c>
      <c r="E328" s="947" t="s">
        <v>74</v>
      </c>
      <c r="F328" s="947"/>
      <c r="G328" s="947"/>
      <c r="H328" s="947"/>
      <c r="I328" s="947"/>
      <c r="J328" s="947"/>
      <c r="K328" s="949"/>
      <c r="L328" s="682" t="s">
        <v>5</v>
      </c>
      <c r="M328" s="352">
        <v>585.16699999999992</v>
      </c>
      <c r="N328" s="353"/>
      <c r="O328" s="797">
        <f t="shared" ref="O328:O348" si="14">N328*M328</f>
        <v>0</v>
      </c>
      <c r="P328" s="387"/>
    </row>
    <row r="329" spans="1:113" s="344" customFormat="1" ht="15.75" x14ac:dyDescent="0.25">
      <c r="C329" s="369" t="s">
        <v>714</v>
      </c>
      <c r="D329" s="731" t="s">
        <v>163</v>
      </c>
      <c r="E329" s="947" t="s">
        <v>162</v>
      </c>
      <c r="F329" s="947"/>
      <c r="G329" s="947"/>
      <c r="H329" s="947"/>
      <c r="I329" s="947"/>
      <c r="J329" s="947"/>
      <c r="K329" s="949"/>
      <c r="L329" s="682" t="s">
        <v>8</v>
      </c>
      <c r="M329" s="352">
        <v>52</v>
      </c>
      <c r="N329" s="353"/>
      <c r="O329" s="797">
        <f t="shared" si="14"/>
        <v>0</v>
      </c>
      <c r="P329" s="387"/>
    </row>
    <row r="330" spans="1:113" s="344" customFormat="1" ht="15.75" x14ac:dyDescent="0.25">
      <c r="C330" s="369" t="s">
        <v>714</v>
      </c>
      <c r="D330" s="599" t="s">
        <v>298</v>
      </c>
      <c r="E330" s="947" t="s">
        <v>299</v>
      </c>
      <c r="F330" s="947"/>
      <c r="G330" s="947"/>
      <c r="H330" s="947"/>
      <c r="I330" s="947"/>
      <c r="J330" s="947"/>
      <c r="K330" s="949"/>
      <c r="L330" s="682" t="s">
        <v>8</v>
      </c>
      <c r="M330" s="352">
        <v>21</v>
      </c>
      <c r="N330" s="353"/>
      <c r="O330" s="797">
        <f t="shared" si="14"/>
        <v>0</v>
      </c>
      <c r="P330" s="387"/>
    </row>
    <row r="331" spans="1:113" s="344" customFormat="1" ht="15.75" x14ac:dyDescent="0.25">
      <c r="C331" s="369" t="s">
        <v>714</v>
      </c>
      <c r="D331" s="354" t="s">
        <v>349</v>
      </c>
      <c r="E331" s="947" t="s">
        <v>350</v>
      </c>
      <c r="F331" s="947"/>
      <c r="G331" s="947"/>
      <c r="H331" s="947"/>
      <c r="I331" s="947"/>
      <c r="J331" s="947"/>
      <c r="K331" s="949"/>
      <c r="L331" s="682" t="s">
        <v>8</v>
      </c>
      <c r="M331" s="352">
        <v>11</v>
      </c>
      <c r="N331" s="353"/>
      <c r="O331" s="797">
        <f t="shared" si="14"/>
        <v>0</v>
      </c>
      <c r="P331" s="387"/>
    </row>
    <row r="332" spans="1:113" s="344" customFormat="1" ht="15.75" x14ac:dyDescent="0.25">
      <c r="C332" s="369" t="s">
        <v>714</v>
      </c>
      <c r="D332" s="931" t="s">
        <v>301</v>
      </c>
      <c r="E332" s="947" t="s">
        <v>302</v>
      </c>
      <c r="F332" s="947"/>
      <c r="G332" s="947"/>
      <c r="H332" s="947"/>
      <c r="I332" s="947"/>
      <c r="J332" s="947"/>
      <c r="K332" s="949"/>
      <c r="L332" s="682" t="s">
        <v>7</v>
      </c>
      <c r="M332" s="352">
        <v>50</v>
      </c>
      <c r="N332" s="353"/>
      <c r="O332" s="797">
        <f t="shared" si="14"/>
        <v>0</v>
      </c>
      <c r="P332" s="387"/>
    </row>
    <row r="333" spans="1:113" s="344" customFormat="1" ht="15.75" x14ac:dyDescent="0.25">
      <c r="C333" s="369" t="s">
        <v>714</v>
      </c>
      <c r="D333" s="927" t="s">
        <v>321</v>
      </c>
      <c r="E333" s="947" t="s">
        <v>322</v>
      </c>
      <c r="F333" s="947"/>
      <c r="G333" s="947"/>
      <c r="H333" s="947"/>
      <c r="I333" s="947"/>
      <c r="J333" s="947"/>
      <c r="K333" s="949"/>
      <c r="L333" s="682" t="s">
        <v>8</v>
      </c>
      <c r="M333" s="352">
        <v>36</v>
      </c>
      <c r="N333" s="353"/>
      <c r="O333" s="797">
        <f t="shared" si="14"/>
        <v>0</v>
      </c>
      <c r="P333" s="387"/>
    </row>
    <row r="334" spans="1:113" s="344" customFormat="1" ht="15.75" x14ac:dyDescent="0.25">
      <c r="C334" s="374" t="s">
        <v>714</v>
      </c>
      <c r="D334" s="932" t="s">
        <v>438</v>
      </c>
      <c r="E334" s="947" t="s">
        <v>439</v>
      </c>
      <c r="F334" s="947"/>
      <c r="G334" s="947"/>
      <c r="H334" s="947"/>
      <c r="I334" s="947"/>
      <c r="J334" s="947"/>
      <c r="K334" s="949"/>
      <c r="L334" s="682" t="s">
        <v>7</v>
      </c>
      <c r="M334" s="352">
        <v>16</v>
      </c>
      <c r="N334" s="353"/>
      <c r="O334" s="797">
        <f t="shared" si="14"/>
        <v>0</v>
      </c>
      <c r="P334" s="387"/>
    </row>
    <row r="335" spans="1:113" s="344" customFormat="1" ht="15.75" x14ac:dyDescent="0.25">
      <c r="C335" s="374" t="s">
        <v>714</v>
      </c>
      <c r="D335" s="932" t="s">
        <v>440</v>
      </c>
      <c r="E335" s="947" t="s">
        <v>441</v>
      </c>
      <c r="F335" s="947"/>
      <c r="G335" s="947"/>
      <c r="H335" s="947"/>
      <c r="I335" s="947"/>
      <c r="J335" s="947"/>
      <c r="K335" s="949"/>
      <c r="L335" s="682" t="s">
        <v>7</v>
      </c>
      <c r="M335" s="352">
        <v>25</v>
      </c>
      <c r="N335" s="353"/>
      <c r="O335" s="797">
        <f t="shared" si="14"/>
        <v>0</v>
      </c>
      <c r="P335" s="387"/>
    </row>
    <row r="336" spans="1:113" s="344" customFormat="1" ht="15.75" x14ac:dyDescent="0.25">
      <c r="C336" s="374" t="s">
        <v>714</v>
      </c>
      <c r="D336" s="932" t="s">
        <v>444</v>
      </c>
      <c r="E336" s="947" t="s">
        <v>445</v>
      </c>
      <c r="F336" s="947"/>
      <c r="G336" s="947"/>
      <c r="H336" s="947"/>
      <c r="I336" s="947"/>
      <c r="J336" s="947"/>
      <c r="K336" s="949"/>
      <c r="L336" s="682" t="s">
        <v>7</v>
      </c>
      <c r="M336" s="352">
        <v>8</v>
      </c>
      <c r="N336" s="353"/>
      <c r="O336" s="797">
        <f t="shared" si="14"/>
        <v>0</v>
      </c>
      <c r="P336" s="387"/>
    </row>
    <row r="337" spans="3:16" s="344" customFormat="1" ht="15.75" x14ac:dyDescent="0.25">
      <c r="C337" s="374" t="s">
        <v>714</v>
      </c>
      <c r="D337" s="681" t="s">
        <v>308</v>
      </c>
      <c r="E337" s="947" t="s">
        <v>309</v>
      </c>
      <c r="F337" s="947"/>
      <c r="G337" s="947"/>
      <c r="H337" s="947"/>
      <c r="I337" s="947"/>
      <c r="J337" s="947"/>
      <c r="K337" s="949"/>
      <c r="L337" s="682" t="s">
        <v>7</v>
      </c>
      <c r="M337" s="352">
        <v>13</v>
      </c>
      <c r="N337" s="353"/>
      <c r="O337" s="813">
        <f t="shared" si="14"/>
        <v>0</v>
      </c>
      <c r="P337" s="387"/>
    </row>
    <row r="338" spans="3:16" s="344" customFormat="1" ht="15.75" x14ac:dyDescent="0.25">
      <c r="C338" s="369" t="s">
        <v>714</v>
      </c>
      <c r="D338" s="354" t="s">
        <v>75</v>
      </c>
      <c r="E338" s="947" t="s">
        <v>180</v>
      </c>
      <c r="F338" s="947"/>
      <c r="G338" s="947"/>
      <c r="H338" s="947"/>
      <c r="I338" s="947"/>
      <c r="J338" s="947"/>
      <c r="K338" s="949"/>
      <c r="L338" s="682" t="s">
        <v>7</v>
      </c>
      <c r="M338" s="352">
        <v>17</v>
      </c>
      <c r="N338" s="353"/>
      <c r="O338" s="813">
        <f t="shared" si="14"/>
        <v>0</v>
      </c>
      <c r="P338" s="387"/>
    </row>
    <row r="339" spans="3:16" s="344" customFormat="1" ht="15.75" x14ac:dyDescent="0.25">
      <c r="C339" s="369" t="s">
        <v>714</v>
      </c>
      <c r="D339" s="356" t="s">
        <v>58</v>
      </c>
      <c r="E339" s="947" t="s">
        <v>59</v>
      </c>
      <c r="F339" s="947"/>
      <c r="G339" s="947"/>
      <c r="H339" s="947"/>
      <c r="I339" s="947"/>
      <c r="J339" s="947"/>
      <c r="K339" s="949"/>
      <c r="L339" s="682" t="s">
        <v>48</v>
      </c>
      <c r="M339" s="352">
        <v>33.347999999999999</v>
      </c>
      <c r="N339" s="353"/>
      <c r="O339" s="813">
        <f t="shared" si="14"/>
        <v>0</v>
      </c>
      <c r="P339" s="387"/>
    </row>
    <row r="340" spans="3:16" s="344" customFormat="1" ht="15.75" x14ac:dyDescent="0.25">
      <c r="C340" s="345" t="s">
        <v>50</v>
      </c>
      <c r="D340" s="357" t="s">
        <v>467</v>
      </c>
      <c r="E340" s="947" t="s">
        <v>593</v>
      </c>
      <c r="F340" s="947"/>
      <c r="G340" s="947"/>
      <c r="H340" s="947"/>
      <c r="I340" s="947"/>
      <c r="J340" s="947"/>
      <c r="K340" s="949"/>
      <c r="L340" s="682" t="s">
        <v>7</v>
      </c>
      <c r="M340" s="352">
        <v>2</v>
      </c>
      <c r="N340" s="353"/>
      <c r="O340" s="813">
        <f t="shared" si="14"/>
        <v>0</v>
      </c>
      <c r="P340" s="387"/>
    </row>
    <row r="341" spans="3:16" s="344" customFormat="1" ht="15.75" x14ac:dyDescent="0.25">
      <c r="C341" s="345" t="s">
        <v>50</v>
      </c>
      <c r="D341" s="357" t="s">
        <v>467</v>
      </c>
      <c r="E341" s="947" t="s">
        <v>594</v>
      </c>
      <c r="F341" s="947"/>
      <c r="G341" s="947"/>
      <c r="H341" s="947"/>
      <c r="I341" s="947"/>
      <c r="J341" s="947"/>
      <c r="K341" s="949"/>
      <c r="L341" s="682" t="s">
        <v>7</v>
      </c>
      <c r="M341" s="352">
        <v>14</v>
      </c>
      <c r="N341" s="353"/>
      <c r="O341" s="813">
        <f t="shared" si="14"/>
        <v>0</v>
      </c>
      <c r="P341" s="387"/>
    </row>
    <row r="342" spans="3:16" s="344" customFormat="1" ht="15.75" x14ac:dyDescent="0.25">
      <c r="C342" s="345" t="s">
        <v>50</v>
      </c>
      <c r="D342" s="357" t="s">
        <v>154</v>
      </c>
      <c r="E342" s="947" t="s">
        <v>595</v>
      </c>
      <c r="F342" s="947"/>
      <c r="G342" s="947"/>
      <c r="H342" s="947"/>
      <c r="I342" s="947"/>
      <c r="J342" s="947"/>
      <c r="K342" s="949"/>
      <c r="L342" s="682" t="s">
        <v>7</v>
      </c>
      <c r="M342" s="352">
        <v>1</v>
      </c>
      <c r="N342" s="353"/>
      <c r="O342" s="813">
        <f t="shared" si="14"/>
        <v>0</v>
      </c>
      <c r="P342" s="387"/>
    </row>
    <row r="343" spans="3:16" s="344" customFormat="1" ht="15.75" x14ac:dyDescent="0.25">
      <c r="C343" s="345" t="s">
        <v>50</v>
      </c>
      <c r="D343" s="357" t="s">
        <v>153</v>
      </c>
      <c r="E343" s="947" t="s">
        <v>596</v>
      </c>
      <c r="F343" s="947"/>
      <c r="G343" s="947"/>
      <c r="H343" s="947"/>
      <c r="I343" s="947"/>
      <c r="J343" s="947"/>
      <c r="K343" s="949"/>
      <c r="L343" s="682" t="s">
        <v>7</v>
      </c>
      <c r="M343" s="352">
        <v>9</v>
      </c>
      <c r="N343" s="353"/>
      <c r="O343" s="813">
        <f t="shared" si="14"/>
        <v>0</v>
      </c>
      <c r="P343" s="387"/>
    </row>
    <row r="344" spans="3:16" s="344" customFormat="1" ht="15.75" x14ac:dyDescent="0.25">
      <c r="C344" s="345" t="s">
        <v>50</v>
      </c>
      <c r="D344" s="357" t="s">
        <v>150</v>
      </c>
      <c r="E344" s="947" t="s">
        <v>465</v>
      </c>
      <c r="F344" s="947"/>
      <c r="G344" s="947"/>
      <c r="H344" s="947"/>
      <c r="I344" s="947"/>
      <c r="J344" s="947"/>
      <c r="K344" s="949"/>
      <c r="L344" s="682" t="s">
        <v>7</v>
      </c>
      <c r="M344" s="352">
        <v>4</v>
      </c>
      <c r="N344" s="353"/>
      <c r="O344" s="813">
        <f t="shared" si="14"/>
        <v>0</v>
      </c>
      <c r="P344" s="387"/>
    </row>
    <row r="345" spans="3:16" s="344" customFormat="1" ht="15.75" x14ac:dyDescent="0.25">
      <c r="C345" s="345" t="s">
        <v>50</v>
      </c>
      <c r="D345" s="357" t="s">
        <v>467</v>
      </c>
      <c r="E345" s="947" t="s">
        <v>597</v>
      </c>
      <c r="F345" s="947"/>
      <c r="G345" s="947"/>
      <c r="H345" s="947"/>
      <c r="I345" s="947"/>
      <c r="J345" s="947"/>
      <c r="K345" s="949"/>
      <c r="L345" s="682" t="s">
        <v>7</v>
      </c>
      <c r="M345" s="352">
        <v>4</v>
      </c>
      <c r="N345" s="353"/>
      <c r="O345" s="813">
        <f t="shared" si="14"/>
        <v>0</v>
      </c>
      <c r="P345" s="387"/>
    </row>
    <row r="346" spans="3:16" s="344" customFormat="1" ht="15.75" x14ac:dyDescent="0.25">
      <c r="C346" s="345" t="s">
        <v>50</v>
      </c>
      <c r="D346" s="357" t="s">
        <v>154</v>
      </c>
      <c r="E346" s="947" t="s">
        <v>598</v>
      </c>
      <c r="F346" s="947"/>
      <c r="G346" s="947"/>
      <c r="H346" s="947"/>
      <c r="I346" s="947"/>
      <c r="J346" s="947"/>
      <c r="K346" s="949"/>
      <c r="L346" s="682" t="s">
        <v>7</v>
      </c>
      <c r="M346" s="352">
        <v>5</v>
      </c>
      <c r="N346" s="353"/>
      <c r="O346" s="813">
        <f t="shared" si="14"/>
        <v>0</v>
      </c>
      <c r="P346" s="387"/>
    </row>
    <row r="347" spans="3:16" s="344" customFormat="1" ht="15.75" x14ac:dyDescent="0.25">
      <c r="C347" s="345" t="s">
        <v>714</v>
      </c>
      <c r="D347" s="358" t="s">
        <v>225</v>
      </c>
      <c r="E347" s="947" t="s">
        <v>226</v>
      </c>
      <c r="F347" s="947"/>
      <c r="G347" s="947"/>
      <c r="H347" s="947"/>
      <c r="I347" s="947"/>
      <c r="J347" s="947"/>
      <c r="K347" s="949"/>
      <c r="L347" s="682" t="s">
        <v>7</v>
      </c>
      <c r="M347" s="352">
        <v>30</v>
      </c>
      <c r="N347" s="353"/>
      <c r="O347" s="813">
        <f t="shared" si="14"/>
        <v>0</v>
      </c>
      <c r="P347" s="387"/>
    </row>
    <row r="348" spans="3:16" s="344" customFormat="1" ht="16.5" thickBot="1" x14ac:dyDescent="0.3">
      <c r="C348" s="429" t="s">
        <v>714</v>
      </c>
      <c r="D348" s="430" t="s">
        <v>479</v>
      </c>
      <c r="E348" s="1026" t="s">
        <v>480</v>
      </c>
      <c r="F348" s="1026"/>
      <c r="G348" s="1026"/>
      <c r="H348" s="1026"/>
      <c r="I348" s="1026"/>
      <c r="J348" s="1026"/>
      <c r="K348" s="1027"/>
      <c r="L348" s="744" t="s">
        <v>42</v>
      </c>
      <c r="M348" s="424">
        <v>12</v>
      </c>
      <c r="N348" s="425"/>
      <c r="O348" s="800">
        <f t="shared" si="14"/>
        <v>0</v>
      </c>
      <c r="P348" s="387"/>
    </row>
    <row r="349" spans="3:16" s="344" customFormat="1" ht="16.5" thickBot="1" x14ac:dyDescent="0.3">
      <c r="C349" s="864"/>
      <c r="D349" s="441" t="s">
        <v>1</v>
      </c>
      <c r="E349" s="988" t="s">
        <v>713</v>
      </c>
      <c r="F349" s="988"/>
      <c r="G349" s="988"/>
      <c r="H349" s="988"/>
      <c r="I349" s="988"/>
      <c r="J349" s="988"/>
      <c r="K349" s="865"/>
      <c r="L349" s="866"/>
      <c r="M349" s="652"/>
      <c r="N349" s="653"/>
      <c r="O349" s="654"/>
      <c r="P349" s="792"/>
    </row>
    <row r="350" spans="3:16" ht="16.5" thickBot="1" x14ac:dyDescent="0.3">
      <c r="C350" s="859"/>
      <c r="D350" s="972" t="s">
        <v>686</v>
      </c>
      <c r="E350" s="972"/>
      <c r="F350" s="972"/>
      <c r="G350" s="972"/>
      <c r="H350" s="972"/>
      <c r="I350" s="972"/>
      <c r="J350" s="972"/>
      <c r="K350" s="972"/>
      <c r="L350" s="431"/>
      <c r="M350" s="408"/>
      <c r="N350" s="409"/>
      <c r="O350" s="410"/>
    </row>
    <row r="351" spans="3:16" ht="16.5" thickBot="1" x14ac:dyDescent="0.3">
      <c r="C351" s="861"/>
      <c r="D351" s="862"/>
      <c r="E351" s="862"/>
      <c r="F351" s="862"/>
      <c r="G351" s="862"/>
      <c r="H351" s="862"/>
      <c r="I351" s="862"/>
      <c r="J351" s="862"/>
      <c r="K351" s="862"/>
      <c r="L351" s="863"/>
      <c r="M351" s="397"/>
      <c r="N351" s="398"/>
      <c r="O351" s="399"/>
    </row>
    <row r="352" spans="3:16" ht="15.6" customHeight="1" x14ac:dyDescent="0.25">
      <c r="C352" s="933" t="s">
        <v>714</v>
      </c>
      <c r="D352" s="493" t="s">
        <v>159</v>
      </c>
      <c r="E352" s="1015" t="s">
        <v>689</v>
      </c>
      <c r="F352" s="1016"/>
      <c r="G352" s="1016"/>
      <c r="H352" s="1016"/>
      <c r="I352" s="1016"/>
      <c r="J352" s="1016"/>
      <c r="K352" s="1017"/>
      <c r="L352" s="413" t="s">
        <v>688</v>
      </c>
      <c r="M352" s="413">
        <v>6</v>
      </c>
      <c r="N352" s="918"/>
      <c r="O352" s="796">
        <f>N352*M352</f>
        <v>0</v>
      </c>
    </row>
    <row r="353" spans="3:17" ht="15.75" x14ac:dyDescent="0.25">
      <c r="C353" s="933" t="s">
        <v>714</v>
      </c>
      <c r="D353" s="605" t="s">
        <v>160</v>
      </c>
      <c r="E353" s="1018" t="s">
        <v>687</v>
      </c>
      <c r="F353" s="1018"/>
      <c r="G353" s="1018"/>
      <c r="H353" s="1018"/>
      <c r="I353" s="1018"/>
      <c r="J353" s="1018"/>
      <c r="K353" s="1018"/>
      <c r="L353" s="352" t="s">
        <v>688</v>
      </c>
      <c r="M353" s="352">
        <v>6</v>
      </c>
      <c r="N353" s="353"/>
      <c r="O353" s="797">
        <f>N353*M353</f>
        <v>0</v>
      </c>
    </row>
    <row r="354" spans="3:17" ht="15.75" x14ac:dyDescent="0.25">
      <c r="C354" s="933" t="s">
        <v>714</v>
      </c>
      <c r="D354" s="605" t="s">
        <v>423</v>
      </c>
      <c r="E354" s="1018" t="s">
        <v>690</v>
      </c>
      <c r="F354" s="1018"/>
      <c r="G354" s="1018"/>
      <c r="H354" s="1018"/>
      <c r="I354" s="1018"/>
      <c r="J354" s="1018"/>
      <c r="K354" s="1018"/>
      <c r="L354" s="352" t="s">
        <v>688</v>
      </c>
      <c r="M354" s="352">
        <v>12</v>
      </c>
      <c r="N354" s="353"/>
      <c r="O354" s="797">
        <f>N354*M354</f>
        <v>0</v>
      </c>
    </row>
    <row r="355" spans="3:17" ht="15.75" x14ac:dyDescent="0.25">
      <c r="C355" s="933" t="s">
        <v>714</v>
      </c>
      <c r="D355" s="605" t="s">
        <v>161</v>
      </c>
      <c r="E355" s="1018" t="s">
        <v>656</v>
      </c>
      <c r="F355" s="1018"/>
      <c r="G355" s="1018"/>
      <c r="H355" s="1018"/>
      <c r="I355" s="1018"/>
      <c r="J355" s="1018"/>
      <c r="K355" s="1018"/>
      <c r="L355" s="424" t="s">
        <v>688</v>
      </c>
      <c r="M355" s="424">
        <v>6</v>
      </c>
      <c r="N355" s="425"/>
      <c r="O355" s="797">
        <f>N355*M355</f>
        <v>0</v>
      </c>
    </row>
    <row r="356" spans="3:17" ht="15.75" x14ac:dyDescent="0.25">
      <c r="C356" s="933" t="s">
        <v>714</v>
      </c>
      <c r="D356" s="493" t="s">
        <v>699</v>
      </c>
      <c r="E356" s="1022" t="s">
        <v>700</v>
      </c>
      <c r="F356" s="1023"/>
      <c r="G356" s="1023"/>
      <c r="H356" s="1023"/>
      <c r="I356" s="1023"/>
      <c r="J356" s="1023"/>
      <c r="K356" s="1024"/>
      <c r="L356" s="424" t="s">
        <v>688</v>
      </c>
      <c r="M356" s="437">
        <v>6</v>
      </c>
      <c r="N356" s="438"/>
      <c r="O356" s="851">
        <f>N356*M356</f>
        <v>0</v>
      </c>
    </row>
    <row r="357" spans="3:17" ht="15.75" x14ac:dyDescent="0.25">
      <c r="C357" s="933" t="s">
        <v>714</v>
      </c>
      <c r="D357" s="493" t="s">
        <v>695</v>
      </c>
      <c r="E357" s="1035" t="s">
        <v>696</v>
      </c>
      <c r="F357" s="1035"/>
      <c r="G357" s="1035"/>
      <c r="H357" s="1035"/>
      <c r="I357" s="1035"/>
      <c r="J357" s="1035"/>
      <c r="K357" s="1035"/>
      <c r="L357" s="424" t="s">
        <v>688</v>
      </c>
      <c r="M357" s="494">
        <v>6</v>
      </c>
      <c r="N357" s="386"/>
      <c r="O357" s="851">
        <f t="shared" ref="O357:O359" si="15">N357*M357</f>
        <v>0</v>
      </c>
    </row>
    <row r="358" spans="3:17" ht="15.75" x14ac:dyDescent="0.25">
      <c r="C358" s="933" t="s">
        <v>714</v>
      </c>
      <c r="D358" s="493" t="s">
        <v>697</v>
      </c>
      <c r="E358" s="1018" t="s">
        <v>698</v>
      </c>
      <c r="F358" s="1018"/>
      <c r="G358" s="1018"/>
      <c r="H358" s="1018"/>
      <c r="I358" s="1018"/>
      <c r="J358" s="1018"/>
      <c r="K358" s="1018"/>
      <c r="L358" s="495" t="s">
        <v>688</v>
      </c>
      <c r="M358" s="437">
        <v>6</v>
      </c>
      <c r="N358" s="438"/>
      <c r="O358" s="851">
        <f t="shared" si="15"/>
        <v>0</v>
      </c>
    </row>
    <row r="359" spans="3:17" ht="15.6" customHeight="1" x14ac:dyDescent="0.25">
      <c r="C359" s="933" t="s">
        <v>714</v>
      </c>
      <c r="D359" s="412" t="s">
        <v>693</v>
      </c>
      <c r="E359" s="953" t="s">
        <v>694</v>
      </c>
      <c r="F359" s="954"/>
      <c r="G359" s="954"/>
      <c r="H359" s="954"/>
      <c r="I359" s="954"/>
      <c r="J359" s="954"/>
      <c r="K359" s="955"/>
      <c r="L359" s="698" t="s">
        <v>642</v>
      </c>
      <c r="M359" s="384">
        <v>6</v>
      </c>
      <c r="N359" s="347"/>
      <c r="O359" s="813">
        <f t="shared" si="15"/>
        <v>0</v>
      </c>
    </row>
    <row r="360" spans="3:17" ht="15.6" customHeight="1" x14ac:dyDescent="0.25">
      <c r="C360" s="933" t="s">
        <v>714</v>
      </c>
      <c r="D360" s="412" t="s">
        <v>805</v>
      </c>
      <c r="E360" s="953" t="s">
        <v>807</v>
      </c>
      <c r="F360" s="954"/>
      <c r="G360" s="954"/>
      <c r="H360" s="954"/>
      <c r="I360" s="954"/>
      <c r="J360" s="954"/>
      <c r="K360" s="955"/>
      <c r="L360" s="698" t="s">
        <v>642</v>
      </c>
      <c r="M360" s="384">
        <v>6</v>
      </c>
      <c r="N360" s="347"/>
      <c r="O360" s="813">
        <f t="shared" ref="O360" si="16">N360*M360</f>
        <v>0</v>
      </c>
    </row>
    <row r="361" spans="3:17" ht="15.6" customHeight="1" x14ac:dyDescent="0.25">
      <c r="C361" s="512" t="s">
        <v>714</v>
      </c>
      <c r="D361" s="412" t="s">
        <v>691</v>
      </c>
      <c r="E361" s="953" t="s">
        <v>692</v>
      </c>
      <c r="F361" s="954"/>
      <c r="G361" s="954"/>
      <c r="H361" s="954"/>
      <c r="I361" s="954"/>
      <c r="J361" s="954"/>
      <c r="K361" s="955"/>
      <c r="L361" s="363" t="s">
        <v>642</v>
      </c>
      <c r="M361" s="384">
        <v>6</v>
      </c>
      <c r="N361" s="438"/>
      <c r="O361" s="348">
        <f t="shared" ref="O361" si="17">M361*N361</f>
        <v>0</v>
      </c>
    </row>
    <row r="362" spans="3:17" ht="15.75" x14ac:dyDescent="0.25">
      <c r="C362" s="939" t="s">
        <v>714</v>
      </c>
      <c r="D362" s="917" t="s">
        <v>657</v>
      </c>
      <c r="E362" s="1057" t="s">
        <v>658</v>
      </c>
      <c r="F362" s="1058"/>
      <c r="G362" s="1058"/>
      <c r="H362" s="1058"/>
      <c r="I362" s="1058"/>
      <c r="J362" s="1058"/>
      <c r="K362" s="1059"/>
      <c r="L362" s="940" t="s">
        <v>642</v>
      </c>
      <c r="M362" s="385">
        <v>6</v>
      </c>
      <c r="N362" s="438"/>
      <c r="O362" s="389">
        <f t="shared" ref="O362" si="18">M362*N362</f>
        <v>0</v>
      </c>
    </row>
    <row r="363" spans="3:17" ht="16.5" thickBot="1" x14ac:dyDescent="0.3">
      <c r="C363" s="941" t="s">
        <v>714</v>
      </c>
      <c r="D363" s="852" t="s">
        <v>803</v>
      </c>
      <c r="E363" s="956" t="s">
        <v>804</v>
      </c>
      <c r="F363" s="957"/>
      <c r="G363" s="957"/>
      <c r="H363" s="957"/>
      <c r="I363" s="957"/>
      <c r="J363" s="957"/>
      <c r="K363" s="958"/>
      <c r="L363" s="853" t="s">
        <v>806</v>
      </c>
      <c r="M363" s="942">
        <v>1443.89</v>
      </c>
      <c r="N363" s="943"/>
      <c r="O363" s="944">
        <f t="shared" ref="O363" si="19">M363*N363</f>
        <v>0</v>
      </c>
    </row>
    <row r="364" spans="3:17" ht="15.75" x14ac:dyDescent="0.25">
      <c r="C364" s="513"/>
      <c r="D364" s="445"/>
      <c r="E364" s="446"/>
      <c r="F364" s="446"/>
      <c r="G364" s="446"/>
      <c r="H364" s="446"/>
      <c r="I364" s="446"/>
      <c r="J364" s="446"/>
      <c r="K364" s="446"/>
      <c r="L364" s="447"/>
      <c r="M364" s="448"/>
      <c r="N364" s="449"/>
      <c r="O364" s="450"/>
      <c r="P364" s="938"/>
    </row>
    <row r="365" spans="3:17" ht="15.75" thickBot="1" x14ac:dyDescent="0.3">
      <c r="P365" s="937"/>
      <c r="Q365" s="440"/>
    </row>
    <row r="366" spans="3:17" ht="21.75" thickBot="1" x14ac:dyDescent="0.4">
      <c r="L366" s="1053" t="s">
        <v>683</v>
      </c>
      <c r="M366" s="1054"/>
      <c r="N366" s="1051">
        <f>SUM(O16:O363)</f>
        <v>0</v>
      </c>
      <c r="O366" s="1052"/>
      <c r="P366" s="501">
        <v>1</v>
      </c>
      <c r="Q366" s="342"/>
    </row>
    <row r="367" spans="3:17" ht="19.5" thickBot="1" x14ac:dyDescent="0.35">
      <c r="C367" s="1013"/>
      <c r="D367" s="1013"/>
      <c r="E367" s="1014"/>
      <c r="F367" s="1013"/>
      <c r="G367" s="497"/>
      <c r="I367" s="7"/>
      <c r="L367" s="160"/>
      <c r="M367" s="160"/>
      <c r="N367" s="160"/>
      <c r="O367" s="160"/>
      <c r="P367" s="502"/>
    </row>
    <row r="368" spans="3:17" ht="21.75" thickBot="1" x14ac:dyDescent="0.4">
      <c r="C368" s="496"/>
      <c r="D368" s="498"/>
      <c r="E368" s="498"/>
      <c r="F368" s="498"/>
      <c r="G368" s="497"/>
      <c r="L368" s="1049" t="s">
        <v>684</v>
      </c>
      <c r="M368" s="1050"/>
      <c r="N368" s="1051">
        <f>N366*21.99%</f>
        <v>0</v>
      </c>
      <c r="O368" s="1052"/>
      <c r="P368" s="501" t="e">
        <f>N368/N366</f>
        <v>#DIV/0!</v>
      </c>
    </row>
    <row r="369" spans="3:16" ht="19.5" thickBot="1" x14ac:dyDescent="0.35">
      <c r="C369" s="1013"/>
      <c r="D369" s="1013"/>
      <c r="E369" s="1014"/>
      <c r="F369" s="1013"/>
      <c r="G369" s="497"/>
      <c r="I369" s="7"/>
      <c r="L369" s="500"/>
      <c r="M369" s="500"/>
      <c r="N369" s="500"/>
      <c r="O369" s="500"/>
      <c r="P369" s="500"/>
    </row>
    <row r="370" spans="3:16" ht="21.75" thickBot="1" x14ac:dyDescent="0.4">
      <c r="C370" s="514"/>
      <c r="D370" s="499"/>
      <c r="E370" s="499"/>
      <c r="F370" s="499"/>
      <c r="G370" s="499"/>
      <c r="L370" s="1049" t="s">
        <v>685</v>
      </c>
      <c r="M370" s="1050"/>
      <c r="N370" s="1051">
        <f>N366+N368</f>
        <v>0</v>
      </c>
      <c r="O370" s="1052"/>
      <c r="P370" s="501" t="e">
        <f>N370/N366</f>
        <v>#DIV/0!</v>
      </c>
    </row>
    <row r="371" spans="3:16" ht="18.75" x14ac:dyDescent="0.3">
      <c r="C371" s="1013"/>
      <c r="D371" s="1013"/>
      <c r="E371" s="1014"/>
      <c r="F371" s="1013"/>
      <c r="G371" s="497"/>
      <c r="N371" s="451"/>
      <c r="O371" s="440"/>
      <c r="P371" s="7"/>
    </row>
    <row r="372" spans="3:16" x14ac:dyDescent="0.25">
      <c r="N372" s="451"/>
      <c r="O372" s="440"/>
    </row>
    <row r="374" spans="3:16" x14ac:dyDescent="0.25">
      <c r="O374" s="7"/>
    </row>
    <row r="375" spans="3:16" x14ac:dyDescent="0.25">
      <c r="O375" s="440"/>
    </row>
    <row r="376" spans="3:16" x14ac:dyDescent="0.25">
      <c r="O376" s="443"/>
    </row>
  </sheetData>
  <mergeCells count="351">
    <mergeCell ref="E79:J79"/>
    <mergeCell ref="E319:K319"/>
    <mergeCell ref="E320:K320"/>
    <mergeCell ref="E321:K321"/>
    <mergeCell ref="E322:K322"/>
    <mergeCell ref="E323:K323"/>
    <mergeCell ref="E298:J298"/>
    <mergeCell ref="E234:K234"/>
    <mergeCell ref="E238:K238"/>
    <mergeCell ref="E192:J192"/>
    <mergeCell ref="E310:K310"/>
    <mergeCell ref="E311:K311"/>
    <mergeCell ref="E312:K312"/>
    <mergeCell ref="E313:K313"/>
    <mergeCell ref="E314:K314"/>
    <mergeCell ref="E315:K315"/>
    <mergeCell ref="E316:K316"/>
    <mergeCell ref="E317:K317"/>
    <mergeCell ref="E318:K318"/>
    <mergeCell ref="E126:J126"/>
    <mergeCell ref="E115:K115"/>
    <mergeCell ref="E127:J127"/>
    <mergeCell ref="E134:K134"/>
    <mergeCell ref="E106:K106"/>
    <mergeCell ref="E37:J37"/>
    <mergeCell ref="E201:K201"/>
    <mergeCell ref="E202:J202"/>
    <mergeCell ref="E275:K275"/>
    <mergeCell ref="E295:K295"/>
    <mergeCell ref="E296:J296"/>
    <mergeCell ref="E274:K274"/>
    <mergeCell ref="E324:K324"/>
    <mergeCell ref="E86:J86"/>
    <mergeCell ref="E95:K95"/>
    <mergeCell ref="E46:K46"/>
    <mergeCell ref="E47:K47"/>
    <mergeCell ref="E48:K48"/>
    <mergeCell ref="E92:K92"/>
    <mergeCell ref="E93:K93"/>
    <mergeCell ref="E94:K94"/>
    <mergeCell ref="E52:K52"/>
    <mergeCell ref="E53:K53"/>
    <mergeCell ref="E54:K54"/>
    <mergeCell ref="E55:K55"/>
    <mergeCell ref="E56:K56"/>
    <mergeCell ref="E57:K57"/>
    <mergeCell ref="E58:K58"/>
    <mergeCell ref="E99:K99"/>
    <mergeCell ref="D350:K350"/>
    <mergeCell ref="E349:J349"/>
    <mergeCell ref="E65:J65"/>
    <mergeCell ref="N368:O368"/>
    <mergeCell ref="L368:M368"/>
    <mergeCell ref="E66:J66"/>
    <mergeCell ref="E68:J68"/>
    <mergeCell ref="E69:J69"/>
    <mergeCell ref="E70:J70"/>
    <mergeCell ref="E128:J128"/>
    <mergeCell ref="E100:K100"/>
    <mergeCell ref="E101:K101"/>
    <mergeCell ref="E102:K102"/>
    <mergeCell ref="E103:K103"/>
    <mergeCell ref="E104:K104"/>
    <mergeCell ref="E105:K105"/>
    <mergeCell ref="E78:J78"/>
    <mergeCell ref="E80:J80"/>
    <mergeCell ref="E81:J81"/>
    <mergeCell ref="E77:J77"/>
    <mergeCell ref="E83:J83"/>
    <mergeCell ref="E84:J84"/>
    <mergeCell ref="E85:J85"/>
    <mergeCell ref="E67:J67"/>
    <mergeCell ref="L370:M370"/>
    <mergeCell ref="N370:O370"/>
    <mergeCell ref="L366:M366"/>
    <mergeCell ref="N366:O366"/>
    <mergeCell ref="D15:K15"/>
    <mergeCell ref="E14:K14"/>
    <mergeCell ref="E23:K23"/>
    <mergeCell ref="E24:K24"/>
    <mergeCell ref="E25:K25"/>
    <mergeCell ref="E26:K26"/>
    <mergeCell ref="E17:K17"/>
    <mergeCell ref="E21:K21"/>
    <mergeCell ref="E18:K18"/>
    <mergeCell ref="E19:K19"/>
    <mergeCell ref="E20:K20"/>
    <mergeCell ref="E22:K22"/>
    <mergeCell ref="E27:K27"/>
    <mergeCell ref="E30:K30"/>
    <mergeCell ref="E362:K362"/>
    <mergeCell ref="E16:K16"/>
    <mergeCell ref="E28:K28"/>
    <mergeCell ref="E29:K29"/>
    <mergeCell ref="E31:K31"/>
    <mergeCell ref="E32:K32"/>
    <mergeCell ref="E33:K33"/>
    <mergeCell ref="E34:K34"/>
    <mergeCell ref="E35:K35"/>
    <mergeCell ref="E36:K36"/>
    <mergeCell ref="E357:K357"/>
    <mergeCell ref="D177:K177"/>
    <mergeCell ref="D233:K233"/>
    <mergeCell ref="E325:J325"/>
    <mergeCell ref="E286:K286"/>
    <mergeCell ref="E287:K287"/>
    <mergeCell ref="E288:K288"/>
    <mergeCell ref="E289:K289"/>
    <mergeCell ref="E290:K290"/>
    <mergeCell ref="E45:K45"/>
    <mergeCell ref="E59:K59"/>
    <mergeCell ref="E60:K60"/>
    <mergeCell ref="E71:J71"/>
    <mergeCell ref="E72:J72"/>
    <mergeCell ref="E73:J73"/>
    <mergeCell ref="E74:J74"/>
    <mergeCell ref="E61:K61"/>
    <mergeCell ref="E62:K62"/>
    <mergeCell ref="E63:K63"/>
    <mergeCell ref="E64:K64"/>
    <mergeCell ref="E369:F369"/>
    <mergeCell ref="E371:F371"/>
    <mergeCell ref="E361:K361"/>
    <mergeCell ref="E358:K358"/>
    <mergeCell ref="E359:K359"/>
    <mergeCell ref="C369:D369"/>
    <mergeCell ref="C371:D371"/>
    <mergeCell ref="E356:K356"/>
    <mergeCell ref="D326:K326"/>
    <mergeCell ref="E347:K347"/>
    <mergeCell ref="E348:K348"/>
    <mergeCell ref="E346:K346"/>
    <mergeCell ref="E354:K354"/>
    <mergeCell ref="E355:K355"/>
    <mergeCell ref="E328:K328"/>
    <mergeCell ref="E338:K338"/>
    <mergeCell ref="E339:K339"/>
    <mergeCell ref="E340:K340"/>
    <mergeCell ref="E341:K341"/>
    <mergeCell ref="E342:K342"/>
    <mergeCell ref="E343:K343"/>
    <mergeCell ref="E344:K344"/>
    <mergeCell ref="E345:K345"/>
    <mergeCell ref="E329:K329"/>
    <mergeCell ref="C13:K13"/>
    <mergeCell ref="E40:K40"/>
    <mergeCell ref="E41:K41"/>
    <mergeCell ref="C367:D367"/>
    <mergeCell ref="E367:F367"/>
    <mergeCell ref="E352:K352"/>
    <mergeCell ref="E353:K353"/>
    <mergeCell ref="E88:K88"/>
    <mergeCell ref="E89:K89"/>
    <mergeCell ref="E90:K90"/>
    <mergeCell ref="E91:K91"/>
    <mergeCell ref="E49:K49"/>
    <mergeCell ref="E50:K50"/>
    <mergeCell ref="E51:K51"/>
    <mergeCell ref="E116:J116"/>
    <mergeCell ref="D117:K117"/>
    <mergeCell ref="E42:K42"/>
    <mergeCell ref="E43:K43"/>
    <mergeCell ref="E44:K44"/>
    <mergeCell ref="E82:J82"/>
    <mergeCell ref="E123:K123"/>
    <mergeCell ref="E96:K96"/>
    <mergeCell ref="E97:K97"/>
    <mergeCell ref="E98:K98"/>
    <mergeCell ref="E107:K107"/>
    <mergeCell ref="E137:K137"/>
    <mergeCell ref="E138:K138"/>
    <mergeCell ref="E129:J129"/>
    <mergeCell ref="E130:J130"/>
    <mergeCell ref="E131:J131"/>
    <mergeCell ref="E132:J132"/>
    <mergeCell ref="E139:K139"/>
    <mergeCell ref="E140:K140"/>
    <mergeCell ref="E119:K119"/>
    <mergeCell ref="E120:K120"/>
    <mergeCell ref="E121:K121"/>
    <mergeCell ref="E122:K122"/>
    <mergeCell ref="E109:J109"/>
    <mergeCell ref="E108:J108"/>
    <mergeCell ref="E110:J110"/>
    <mergeCell ref="E111:J111"/>
    <mergeCell ref="E112:J112"/>
    <mergeCell ref="E113:J113"/>
    <mergeCell ref="E114:J114"/>
    <mergeCell ref="E141:K141"/>
    <mergeCell ref="E135:K135"/>
    <mergeCell ref="E136:K136"/>
    <mergeCell ref="E142:K142"/>
    <mergeCell ref="E143:K143"/>
    <mergeCell ref="E144:K144"/>
    <mergeCell ref="E145:K145"/>
    <mergeCell ref="E146:K146"/>
    <mergeCell ref="E147:K147"/>
    <mergeCell ref="E148:K148"/>
    <mergeCell ref="E149:K149"/>
    <mergeCell ref="E150:K150"/>
    <mergeCell ref="E151:K151"/>
    <mergeCell ref="E152:K152"/>
    <mergeCell ref="E153:K153"/>
    <mergeCell ref="E154:K154"/>
    <mergeCell ref="E155:K155"/>
    <mergeCell ref="E156:K156"/>
    <mergeCell ref="E157:K157"/>
    <mergeCell ref="E158:K158"/>
    <mergeCell ref="E159:K159"/>
    <mergeCell ref="E160:K160"/>
    <mergeCell ref="E161:K161"/>
    <mergeCell ref="E162:K162"/>
    <mergeCell ref="E163:K163"/>
    <mergeCell ref="E164:K164"/>
    <mergeCell ref="E165:K165"/>
    <mergeCell ref="E166:K166"/>
    <mergeCell ref="E167:K167"/>
    <mergeCell ref="E168:K168"/>
    <mergeCell ref="E193:J193"/>
    <mergeCell ref="E194:J194"/>
    <mergeCell ref="E195:J195"/>
    <mergeCell ref="E196:J196"/>
    <mergeCell ref="E197:J197"/>
    <mergeCell ref="E198:J198"/>
    <mergeCell ref="E188:K188"/>
    <mergeCell ref="E169:K169"/>
    <mergeCell ref="E170:K170"/>
    <mergeCell ref="E171:K171"/>
    <mergeCell ref="E172:K172"/>
    <mergeCell ref="E173:K173"/>
    <mergeCell ref="E179:K179"/>
    <mergeCell ref="E180:K180"/>
    <mergeCell ref="E175:K175"/>
    <mergeCell ref="E199:J199"/>
    <mergeCell ref="E231:K231"/>
    <mergeCell ref="E232:J232"/>
    <mergeCell ref="E230:K230"/>
    <mergeCell ref="E213:K213"/>
    <mergeCell ref="E214:K214"/>
    <mergeCell ref="E215:K215"/>
    <mergeCell ref="E216:K216"/>
    <mergeCell ref="E217:K217"/>
    <mergeCell ref="E218:K218"/>
    <mergeCell ref="E239:J239"/>
    <mergeCell ref="E240:J240"/>
    <mergeCell ref="E241:J241"/>
    <mergeCell ref="E291:K291"/>
    <mergeCell ref="E283:J283"/>
    <mergeCell ref="D284:K284"/>
    <mergeCell ref="E185:K185"/>
    <mergeCell ref="E186:K186"/>
    <mergeCell ref="E187:K187"/>
    <mergeCell ref="E224:K224"/>
    <mergeCell ref="E225:K225"/>
    <mergeCell ref="E226:K226"/>
    <mergeCell ref="E227:K227"/>
    <mergeCell ref="E228:K228"/>
    <mergeCell ref="E229:K229"/>
    <mergeCell ref="E219:K219"/>
    <mergeCell ref="E220:K220"/>
    <mergeCell ref="E221:K221"/>
    <mergeCell ref="E237:K237"/>
    <mergeCell ref="E235:K235"/>
    <mergeCell ref="E236:K236"/>
    <mergeCell ref="E247:K247"/>
    <mergeCell ref="E248:K248"/>
    <mergeCell ref="E249:K249"/>
    <mergeCell ref="D38:K38"/>
    <mergeCell ref="E222:K222"/>
    <mergeCell ref="E223:K223"/>
    <mergeCell ref="E211:K211"/>
    <mergeCell ref="E212:K212"/>
    <mergeCell ref="E203:J203"/>
    <mergeCell ref="E204:J204"/>
    <mergeCell ref="E205:J205"/>
    <mergeCell ref="E206:J206"/>
    <mergeCell ref="E207:J207"/>
    <mergeCell ref="E208:J208"/>
    <mergeCell ref="E209:J209"/>
    <mergeCell ref="E181:K181"/>
    <mergeCell ref="E182:K182"/>
    <mergeCell ref="E183:K183"/>
    <mergeCell ref="E176:J176"/>
    <mergeCell ref="E124:K124"/>
    <mergeCell ref="E125:J125"/>
    <mergeCell ref="E189:K189"/>
    <mergeCell ref="E190:J190"/>
    <mergeCell ref="E174:K174"/>
    <mergeCell ref="E191:J191"/>
    <mergeCell ref="E76:K76"/>
    <mergeCell ref="E184:K184"/>
    <mergeCell ref="E250:K250"/>
    <mergeCell ref="E251:K251"/>
    <mergeCell ref="E252:K252"/>
    <mergeCell ref="E299:J299"/>
    <mergeCell ref="E300:J300"/>
    <mergeCell ref="E256:K256"/>
    <mergeCell ref="E257:K257"/>
    <mergeCell ref="E258:K258"/>
    <mergeCell ref="E242:J242"/>
    <mergeCell ref="E243:J243"/>
    <mergeCell ref="E244:J244"/>
    <mergeCell ref="E245:J245"/>
    <mergeCell ref="E253:K253"/>
    <mergeCell ref="E254:K254"/>
    <mergeCell ref="E255:K255"/>
    <mergeCell ref="E267:K267"/>
    <mergeCell ref="E268:K268"/>
    <mergeCell ref="E269:K269"/>
    <mergeCell ref="E270:K270"/>
    <mergeCell ref="E271:K271"/>
    <mergeCell ref="E273:K273"/>
    <mergeCell ref="E272:K272"/>
    <mergeCell ref="E259:K259"/>
    <mergeCell ref="E260:K260"/>
    <mergeCell ref="E360:K360"/>
    <mergeCell ref="E363:K363"/>
    <mergeCell ref="E276:J276"/>
    <mergeCell ref="E277:J277"/>
    <mergeCell ref="E278:J278"/>
    <mergeCell ref="E279:J279"/>
    <mergeCell ref="E280:J280"/>
    <mergeCell ref="E281:J281"/>
    <mergeCell ref="E282:J282"/>
    <mergeCell ref="E301:J301"/>
    <mergeCell ref="E302:J302"/>
    <mergeCell ref="E303:J303"/>
    <mergeCell ref="E304:J304"/>
    <mergeCell ref="E305:J305"/>
    <mergeCell ref="C306:K306"/>
    <mergeCell ref="E292:K292"/>
    <mergeCell ref="E293:K293"/>
    <mergeCell ref="E294:K294"/>
    <mergeCell ref="E330:K330"/>
    <mergeCell ref="E331:K331"/>
    <mergeCell ref="E332:K332"/>
    <mergeCell ref="E333:K333"/>
    <mergeCell ref="E334:K334"/>
    <mergeCell ref="E335:K335"/>
    <mergeCell ref="E261:K261"/>
    <mergeCell ref="E262:K262"/>
    <mergeCell ref="E263:K263"/>
    <mergeCell ref="E264:K264"/>
    <mergeCell ref="E265:K265"/>
    <mergeCell ref="E266:K266"/>
    <mergeCell ref="E336:K336"/>
    <mergeCell ref="E337:K337"/>
    <mergeCell ref="E297:J297"/>
    <mergeCell ref="E307:K307"/>
    <mergeCell ref="E308:K308"/>
    <mergeCell ref="E309:K309"/>
  </mergeCells>
  <phoneticPr fontId="7" type="noConversion"/>
  <conditionalFormatting sqref="E352:E358 E364">
    <cfRule type="expression" dxfId="12" priority="6" stopIfTrue="1">
      <formula>OR(#REF!="M",#REF!="A")</formula>
    </cfRule>
  </conditionalFormatting>
  <printOptions horizontalCentered="1" verticalCentered="1"/>
  <pageMargins left="0.23622047244094491" right="0.23622047244094491" top="0.74803149606299213" bottom="0.74803149606299213" header="0.31496062992125984" footer="0.31496062992125984"/>
  <pageSetup paperSize="9" scale="46" fitToHeight="0" orientation="landscape" horizontalDpi="300" verticalDpi="300" r:id="rId1"/>
  <rowBreaks count="5" manualBreakCount="5">
    <brk id="57" min="2" max="15" man="1"/>
    <brk id="122" min="2" max="15" man="1"/>
    <brk id="186" min="2" max="15" man="1"/>
    <brk id="252" min="2" max="15" man="1"/>
    <brk id="316" min="2" max="15" man="1"/>
  </rowBreaks>
  <ignoredErrors>
    <ignoredError sqref="O27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4"/>
  <sheetViews>
    <sheetView workbookViewId="0">
      <selection activeCell="C17" sqref="C17"/>
    </sheetView>
  </sheetViews>
  <sheetFormatPr defaultRowHeight="15" x14ac:dyDescent="0.25"/>
  <cols>
    <col min="2" max="2" width="14" bestFit="1" customWidth="1"/>
    <col min="3" max="3" width="12.7109375" customWidth="1"/>
    <col min="4" max="4" width="14.85546875" bestFit="1" customWidth="1"/>
  </cols>
  <sheetData>
    <row r="1" spans="2:10" ht="15.75" thickBot="1" x14ac:dyDescent="0.3"/>
    <row r="2" spans="2:10" ht="15.75" x14ac:dyDescent="0.25">
      <c r="B2" s="313" t="str">
        <f>COMPLEMENTO!D352</f>
        <v>05.105.0122-0</v>
      </c>
      <c r="C2" s="1080" t="str">
        <f>COMPLEMENTO!E352</f>
        <v>MAO-DE-OBRA DE ALMOXARIFE,INCLUSIVE ENCARGOS SOCIAIS</v>
      </c>
      <c r="D2" s="1080"/>
      <c r="E2" s="1080"/>
      <c r="F2" s="1080"/>
      <c r="G2" s="1080"/>
      <c r="H2" s="1080"/>
      <c r="I2" s="314" t="s">
        <v>688</v>
      </c>
      <c r="J2" s="315">
        <f>E5</f>
        <v>6</v>
      </c>
    </row>
    <row r="3" spans="2:10" ht="15.75" x14ac:dyDescent="0.25">
      <c r="B3" s="316"/>
      <c r="C3" s="317"/>
      <c r="D3" s="317"/>
      <c r="E3" s="317"/>
      <c r="F3" s="318"/>
      <c r="G3" s="318"/>
      <c r="H3" s="318"/>
      <c r="I3" s="319"/>
      <c r="J3" s="320"/>
    </row>
    <row r="4" spans="2:10" ht="15.75" x14ac:dyDescent="0.25">
      <c r="B4" s="321"/>
      <c r="C4" s="322" t="s">
        <v>638</v>
      </c>
      <c r="D4" s="457" t="s">
        <v>639</v>
      </c>
      <c r="E4" s="322" t="s">
        <v>77</v>
      </c>
      <c r="F4" s="323"/>
      <c r="G4" s="324"/>
      <c r="H4" s="318"/>
      <c r="I4" s="319"/>
      <c r="J4" s="320"/>
    </row>
    <row r="5" spans="2:10" ht="15.75" x14ac:dyDescent="0.25">
      <c r="B5" s="325"/>
      <c r="C5" s="326">
        <v>1</v>
      </c>
      <c r="D5" s="326">
        <v>6</v>
      </c>
      <c r="E5" s="322">
        <f>C5*D5</f>
        <v>6</v>
      </c>
      <c r="F5" s="327"/>
      <c r="G5" s="328"/>
      <c r="H5" s="328"/>
      <c r="I5" s="329"/>
      <c r="J5" s="330"/>
    </row>
    <row r="6" spans="2:10" ht="15.75" x14ac:dyDescent="0.25">
      <c r="B6" s="331"/>
      <c r="C6" s="317"/>
      <c r="D6" s="317"/>
      <c r="E6" s="317"/>
      <c r="F6" s="332"/>
      <c r="G6" s="332"/>
      <c r="H6" s="332"/>
      <c r="I6" s="333"/>
      <c r="J6" s="334"/>
    </row>
    <row r="7" spans="2:10" ht="15.75" x14ac:dyDescent="0.25">
      <c r="B7" s="335" t="str">
        <f>COMPLEMENTO!D353</f>
        <v>05.105.0128-0</v>
      </c>
      <c r="C7" s="1079" t="str">
        <f>COMPLEMENTO!E353</f>
        <v>MAO-DE-OBRA DE MESTRE DE OBRA A,INCLUSIVE ENCARGOS SOCIAIS</v>
      </c>
      <c r="D7" s="1079"/>
      <c r="E7" s="1079"/>
      <c r="F7" s="1079"/>
      <c r="G7" s="1079"/>
      <c r="H7" s="1079"/>
      <c r="I7" s="336" t="s">
        <v>688</v>
      </c>
      <c r="J7" s="337">
        <f>E10</f>
        <v>6</v>
      </c>
    </row>
    <row r="8" spans="2:10" ht="15.75" x14ac:dyDescent="0.25">
      <c r="B8" s="316"/>
      <c r="C8" s="317"/>
      <c r="D8" s="317"/>
      <c r="E8" s="317"/>
      <c r="F8" s="318"/>
      <c r="G8" s="318"/>
      <c r="H8" s="318"/>
      <c r="I8" s="319"/>
      <c r="J8" s="320"/>
    </row>
    <row r="9" spans="2:10" ht="15.75" x14ac:dyDescent="0.25">
      <c r="B9" s="325"/>
      <c r="C9" s="322" t="s">
        <v>638</v>
      </c>
      <c r="D9" s="457" t="s">
        <v>639</v>
      </c>
      <c r="E9" s="322" t="s">
        <v>77</v>
      </c>
      <c r="F9" s="327"/>
      <c r="G9" s="324"/>
      <c r="H9" s="328"/>
      <c r="I9" s="329"/>
      <c r="J9" s="330"/>
    </row>
    <row r="10" spans="2:10" ht="15.75" x14ac:dyDescent="0.25">
      <c r="B10" s="325"/>
      <c r="C10" s="326">
        <v>1</v>
      </c>
      <c r="D10" s="326">
        <v>6</v>
      </c>
      <c r="E10" s="322">
        <f>C10*D10</f>
        <v>6</v>
      </c>
      <c r="F10" s="327"/>
      <c r="G10" s="328"/>
      <c r="H10" s="328"/>
      <c r="I10" s="329"/>
      <c r="J10" s="330"/>
    </row>
    <row r="11" spans="2:10" ht="15.75" x14ac:dyDescent="0.25">
      <c r="B11" s="338"/>
      <c r="C11" s="318"/>
      <c r="D11" s="318"/>
      <c r="E11" s="318"/>
      <c r="F11" s="328"/>
      <c r="G11" s="328"/>
      <c r="H11" s="328"/>
      <c r="I11" s="329"/>
      <c r="J11" s="330"/>
    </row>
    <row r="12" spans="2:10" ht="15.75" x14ac:dyDescent="0.25">
      <c r="B12" s="331"/>
      <c r="C12" s="332"/>
      <c r="D12" s="332"/>
      <c r="E12" s="332"/>
      <c r="F12" s="332"/>
      <c r="G12" s="332"/>
      <c r="H12" s="332"/>
      <c r="I12" s="333"/>
      <c r="J12" s="334"/>
    </row>
    <row r="13" spans="2:10" ht="15.75" x14ac:dyDescent="0.25">
      <c r="B13" s="335" t="str">
        <f>COMPLEMENTO!D354</f>
        <v>05.105.0127-0</v>
      </c>
      <c r="C13" s="1079" t="str">
        <f>COMPLEMENTO!E354</f>
        <v>MAO-DE-OBRA DE ENCARREGADO DE OBRA,INCLUSIVE ENCARGOS SOCIAIS</v>
      </c>
      <c r="D13" s="1079"/>
      <c r="E13" s="1079"/>
      <c r="F13" s="1079"/>
      <c r="G13" s="1079"/>
      <c r="H13" s="1079"/>
      <c r="I13" s="336" t="s">
        <v>688</v>
      </c>
      <c r="J13" s="337">
        <f>E16</f>
        <v>6</v>
      </c>
    </row>
    <row r="14" spans="2:10" ht="15.75" x14ac:dyDescent="0.25">
      <c r="B14" s="316"/>
      <c r="C14" s="317"/>
      <c r="D14" s="317"/>
      <c r="E14" s="317"/>
      <c r="F14" s="318"/>
      <c r="G14" s="318"/>
      <c r="H14" s="318"/>
      <c r="I14" s="319"/>
      <c r="J14" s="320"/>
    </row>
    <row r="15" spans="2:10" ht="15.75" x14ac:dyDescent="0.25">
      <c r="B15" s="325"/>
      <c r="C15" s="322" t="s">
        <v>638</v>
      </c>
      <c r="D15" s="457" t="s">
        <v>639</v>
      </c>
      <c r="E15" s="322" t="s">
        <v>77</v>
      </c>
      <c r="F15" s="327"/>
      <c r="G15" s="324"/>
      <c r="H15" s="339"/>
      <c r="I15" s="329"/>
      <c r="J15" s="330"/>
    </row>
    <row r="16" spans="2:10" ht="15.75" x14ac:dyDescent="0.25">
      <c r="B16" s="325"/>
      <c r="C16" s="326">
        <v>1</v>
      </c>
      <c r="D16" s="326">
        <v>6</v>
      </c>
      <c r="E16" s="322">
        <f>C16*D16</f>
        <v>6</v>
      </c>
      <c r="F16" s="327"/>
      <c r="G16" s="328"/>
      <c r="H16" s="339"/>
      <c r="I16" s="329"/>
      <c r="J16" s="330"/>
    </row>
    <row r="17" spans="2:10" ht="15.75" x14ac:dyDescent="0.25">
      <c r="B17" s="338"/>
      <c r="C17" s="318"/>
      <c r="D17" s="318"/>
      <c r="E17" s="318"/>
      <c r="F17" s="328"/>
      <c r="G17" s="328"/>
      <c r="H17" s="340"/>
      <c r="I17" s="329"/>
      <c r="J17" s="330"/>
    </row>
    <row r="18" spans="2:10" ht="15.75" x14ac:dyDescent="0.25">
      <c r="B18" s="331"/>
      <c r="C18" s="332"/>
      <c r="D18" s="332"/>
      <c r="E18" s="332"/>
      <c r="F18" s="332"/>
      <c r="G18" s="332"/>
      <c r="H18" s="332"/>
      <c r="I18" s="333"/>
      <c r="J18" s="334"/>
    </row>
    <row r="19" spans="2:10" ht="15.75" x14ac:dyDescent="0.25">
      <c r="B19" s="335" t="str">
        <f>COMPLEMENTO!D355</f>
        <v>05.105.0144-0</v>
      </c>
      <c r="C19" s="1079" t="str">
        <f>COMPLEMENTO!E355</f>
        <v>MAO-DE-OBRA DE TECNICO DE EDIFICACOES,INCLUSIVE ENCARGOS SOCIAIS</v>
      </c>
      <c r="D19" s="1079"/>
      <c r="E19" s="1079"/>
      <c r="F19" s="1079"/>
      <c r="G19" s="1079"/>
      <c r="H19" s="1079"/>
      <c r="I19" s="336" t="s">
        <v>688</v>
      </c>
      <c r="J19" s="337">
        <f>E22</f>
        <v>6</v>
      </c>
    </row>
    <row r="20" spans="2:10" ht="15.75" x14ac:dyDescent="0.25">
      <c r="B20" s="316"/>
      <c r="C20" s="317"/>
      <c r="D20" s="317"/>
      <c r="E20" s="317"/>
      <c r="F20" s="318"/>
      <c r="G20" s="318"/>
      <c r="H20" s="318"/>
      <c r="I20" s="319"/>
      <c r="J20" s="320"/>
    </row>
    <row r="21" spans="2:10" ht="15.75" x14ac:dyDescent="0.25">
      <c r="B21" s="325"/>
      <c r="C21" s="322" t="s">
        <v>638</v>
      </c>
      <c r="D21" s="457" t="s">
        <v>639</v>
      </c>
      <c r="E21" s="322" t="s">
        <v>77</v>
      </c>
      <c r="F21" s="327"/>
      <c r="G21" s="324"/>
      <c r="H21" s="339"/>
      <c r="I21" s="329"/>
      <c r="J21" s="330"/>
    </row>
    <row r="22" spans="2:10" ht="15.75" x14ac:dyDescent="0.25">
      <c r="B22" s="325"/>
      <c r="C22" s="453">
        <v>1</v>
      </c>
      <c r="D22" s="453">
        <v>6</v>
      </c>
      <c r="E22" s="454">
        <f>C22*D22</f>
        <v>6</v>
      </c>
      <c r="F22" s="327"/>
      <c r="G22" s="328"/>
      <c r="H22" s="339"/>
      <c r="I22" s="329"/>
      <c r="J22" s="330"/>
    </row>
    <row r="23" spans="2:10" ht="15.75" x14ac:dyDescent="0.25">
      <c r="B23" s="331"/>
      <c r="C23" s="317"/>
      <c r="D23" s="317"/>
      <c r="E23" s="455"/>
      <c r="F23" s="332"/>
      <c r="G23" s="332"/>
      <c r="H23" s="332"/>
      <c r="I23" s="333"/>
      <c r="J23" s="334"/>
    </row>
    <row r="24" spans="2:10" ht="15.75" x14ac:dyDescent="0.25">
      <c r="B24" s="335" t="str">
        <f>COMPLEMENTO!D356</f>
        <v>05.105.0133-0</v>
      </c>
      <c r="C24" s="1079" t="str">
        <f>COMPLEMENTO!E356</f>
        <v>MAO-DE-OBRA DESENHISTA A,INCLUSIVE ENCARGOS SOCIAIS</v>
      </c>
      <c r="D24" s="1079"/>
      <c r="E24" s="1079"/>
      <c r="F24" s="1079"/>
      <c r="G24" s="1079"/>
      <c r="H24" s="1079"/>
      <c r="I24" s="336" t="s">
        <v>688</v>
      </c>
      <c r="J24" s="337">
        <f>E27</f>
        <v>6</v>
      </c>
    </row>
    <row r="25" spans="2:10" ht="15.75" x14ac:dyDescent="0.25">
      <c r="B25" s="316"/>
      <c r="C25" s="317"/>
      <c r="D25" s="317"/>
      <c r="E25" s="317"/>
      <c r="F25" s="318"/>
      <c r="G25" s="318"/>
      <c r="H25" s="318"/>
      <c r="I25" s="319"/>
      <c r="J25" s="320"/>
    </row>
    <row r="26" spans="2:10" ht="15.75" x14ac:dyDescent="0.25">
      <c r="B26" s="321"/>
      <c r="C26" s="322" t="s">
        <v>638</v>
      </c>
      <c r="D26" s="457" t="s">
        <v>639</v>
      </c>
      <c r="E26" s="322" t="s">
        <v>77</v>
      </c>
      <c r="F26" s="341"/>
      <c r="G26" s="324"/>
      <c r="H26" s="339"/>
      <c r="I26" s="319"/>
      <c r="J26" s="320"/>
    </row>
    <row r="27" spans="2:10" ht="15.75" x14ac:dyDescent="0.25">
      <c r="B27" s="325"/>
      <c r="C27" s="453">
        <v>1</v>
      </c>
      <c r="D27" s="453">
        <v>6</v>
      </c>
      <c r="E27" s="456">
        <f>C27*D27</f>
        <v>6</v>
      </c>
      <c r="F27" s="327"/>
      <c r="G27" s="328"/>
      <c r="H27" s="339"/>
      <c r="I27" s="329"/>
      <c r="J27" s="330"/>
    </row>
    <row r="28" spans="2:10" ht="15.75" x14ac:dyDescent="0.25">
      <c r="B28" s="331"/>
      <c r="C28" s="317"/>
      <c r="D28" s="317"/>
      <c r="E28" s="317"/>
      <c r="F28" s="332"/>
      <c r="G28" s="332"/>
      <c r="H28" s="332"/>
      <c r="I28" s="333"/>
      <c r="J28" s="334"/>
    </row>
    <row r="29" spans="2:10" ht="15.75" x14ac:dyDescent="0.25">
      <c r="B29" s="335" t="str">
        <f>COMPLEMENTO!D357</f>
        <v>05.105.0155-0</v>
      </c>
      <c r="C29" s="1079" t="str">
        <f>COMPLEMENTO!E357</f>
        <v>MAO-DE-OBRA ELETROTECNICO,INCLUSIVE ENCARGOS SOCIAIS</v>
      </c>
      <c r="D29" s="1079"/>
      <c r="E29" s="1079"/>
      <c r="F29" s="1079"/>
      <c r="G29" s="1079"/>
      <c r="H29" s="1079"/>
      <c r="I29" s="336" t="s">
        <v>688</v>
      </c>
      <c r="J29" s="337">
        <f>E32</f>
        <v>6</v>
      </c>
    </row>
    <row r="30" spans="2:10" ht="15.75" x14ac:dyDescent="0.25">
      <c r="B30" s="316"/>
      <c r="C30" s="317"/>
      <c r="D30" s="317"/>
      <c r="E30" s="317"/>
      <c r="F30" s="318"/>
      <c r="G30" s="318"/>
      <c r="H30" s="318"/>
      <c r="I30" s="319"/>
      <c r="J30" s="320"/>
    </row>
    <row r="31" spans="2:10" ht="15.75" x14ac:dyDescent="0.25">
      <c r="B31" s="321"/>
      <c r="C31" s="322" t="s">
        <v>638</v>
      </c>
      <c r="D31" s="457" t="s">
        <v>639</v>
      </c>
      <c r="E31" s="322" t="s">
        <v>77</v>
      </c>
      <c r="F31" s="341"/>
      <c r="G31" s="324"/>
      <c r="H31" s="339"/>
      <c r="I31" s="319"/>
      <c r="J31" s="320"/>
    </row>
    <row r="32" spans="2:10" ht="15.75" x14ac:dyDescent="0.25">
      <c r="B32" s="325"/>
      <c r="C32" s="453">
        <v>1</v>
      </c>
      <c r="D32" s="453">
        <v>6</v>
      </c>
      <c r="E32" s="456">
        <f>C32*D32</f>
        <v>6</v>
      </c>
      <c r="F32" s="327"/>
      <c r="G32" s="328"/>
      <c r="H32" s="339"/>
      <c r="I32" s="329"/>
      <c r="J32" s="330"/>
    </row>
    <row r="33" spans="2:10" ht="15.75" x14ac:dyDescent="0.25">
      <c r="B33" s="331"/>
      <c r="C33" s="317"/>
      <c r="D33" s="317"/>
      <c r="E33" s="317"/>
      <c r="F33" s="332"/>
      <c r="G33" s="332"/>
      <c r="H33" s="332"/>
      <c r="I33" s="333"/>
      <c r="J33" s="334"/>
    </row>
    <row r="34" spans="2:10" ht="15.75" x14ac:dyDescent="0.25">
      <c r="B34" s="335" t="str">
        <f>COMPLEMENTO!D358</f>
        <v>05.105.0169-0</v>
      </c>
      <c r="C34" s="1079" t="str">
        <f>COMPLEMENTO!E358</f>
        <v>MAO-DE-OBRA DE TECNICO DE SEGURANCA DO TRABALHO,INCLUSIVE ENCARGO</v>
      </c>
      <c r="D34" s="1079"/>
      <c r="E34" s="1079"/>
      <c r="F34" s="1079"/>
      <c r="G34" s="1079"/>
      <c r="H34" s="1079"/>
      <c r="I34" s="336" t="s">
        <v>688</v>
      </c>
      <c r="J34" s="337">
        <f>E37</f>
        <v>6</v>
      </c>
    </row>
    <row r="35" spans="2:10" ht="15.75" x14ac:dyDescent="0.25">
      <c r="B35" s="316"/>
      <c r="C35" s="317"/>
      <c r="D35" s="317"/>
      <c r="E35" s="317"/>
      <c r="F35" s="318"/>
      <c r="G35" s="318"/>
      <c r="H35" s="318"/>
      <c r="I35" s="319"/>
      <c r="J35" s="320"/>
    </row>
    <row r="36" spans="2:10" ht="15.75" x14ac:dyDescent="0.25">
      <c r="B36" s="321"/>
      <c r="C36" s="322" t="s">
        <v>638</v>
      </c>
      <c r="D36" s="457" t="s">
        <v>639</v>
      </c>
      <c r="E36" s="322" t="s">
        <v>77</v>
      </c>
      <c r="F36" s="341"/>
      <c r="G36" s="324"/>
      <c r="H36" s="339"/>
      <c r="I36" s="319"/>
      <c r="J36" s="320"/>
    </row>
    <row r="37" spans="2:10" ht="15.75" x14ac:dyDescent="0.25">
      <c r="B37" s="325"/>
      <c r="C37" s="453">
        <v>1</v>
      </c>
      <c r="D37" s="453">
        <v>6</v>
      </c>
      <c r="E37" s="456">
        <f>C37*D37</f>
        <v>6</v>
      </c>
      <c r="F37" s="327"/>
      <c r="G37" s="328"/>
      <c r="H37" s="339"/>
      <c r="I37" s="329"/>
      <c r="J37" s="330"/>
    </row>
    <row r="38" spans="2:10" ht="15.75" x14ac:dyDescent="0.25">
      <c r="B38" s="331"/>
      <c r="C38" s="317"/>
      <c r="D38" s="317"/>
      <c r="E38" s="317"/>
      <c r="F38" s="332"/>
      <c r="G38" s="332"/>
      <c r="H38" s="332"/>
      <c r="I38" s="333"/>
      <c r="J38" s="334"/>
    </row>
    <row r="39" spans="2:10" ht="15.75" x14ac:dyDescent="0.25">
      <c r="B39" s="335" t="str">
        <f>COMPLEMENTO!D359</f>
        <v>05.105.0132-0</v>
      </c>
      <c r="C39" s="1079" t="str">
        <f>COMPLEMENTO!E359</f>
        <v>MAO-DE-OBRA DE ENGENHEIRO OU ARQUITETO COORDENADOR GERAL DE PROJETOS OU SUPERVISOR DE OBRAS,INCLUSIVE ENCARGOS SOCIAIS</v>
      </c>
      <c r="D39" s="1079"/>
      <c r="E39" s="1079"/>
      <c r="F39" s="1079"/>
      <c r="G39" s="1079"/>
      <c r="H39" s="1079"/>
      <c r="I39" s="336" t="s">
        <v>688</v>
      </c>
      <c r="J39" s="337">
        <f>E42</f>
        <v>6</v>
      </c>
    </row>
    <row r="40" spans="2:10" ht="15.75" x14ac:dyDescent="0.25">
      <c r="B40" s="316"/>
      <c r="C40" s="317"/>
      <c r="D40" s="317"/>
      <c r="E40" s="317"/>
      <c r="F40" s="318"/>
      <c r="G40" s="318"/>
      <c r="H40" s="318"/>
      <c r="I40" s="319"/>
      <c r="J40" s="320"/>
    </row>
    <row r="41" spans="2:10" ht="15.75" x14ac:dyDescent="0.25">
      <c r="B41" s="321"/>
      <c r="C41" s="322" t="s">
        <v>638</v>
      </c>
      <c r="D41" s="457" t="s">
        <v>639</v>
      </c>
      <c r="E41" s="322" t="s">
        <v>77</v>
      </c>
      <c r="F41" s="341"/>
      <c r="G41" s="324"/>
      <c r="H41" s="339"/>
      <c r="I41" s="319"/>
      <c r="J41" s="320"/>
    </row>
    <row r="42" spans="2:10" ht="15.75" x14ac:dyDescent="0.25">
      <c r="B42" s="325"/>
      <c r="C42" s="453">
        <v>1</v>
      </c>
      <c r="D42" s="453">
        <v>6</v>
      </c>
      <c r="E42" s="456">
        <f>C42*D42</f>
        <v>6</v>
      </c>
      <c r="F42" s="327"/>
      <c r="G42" s="328"/>
      <c r="H42" s="339"/>
      <c r="I42" s="329"/>
      <c r="J42" s="330"/>
    </row>
    <row r="43" spans="2:10" ht="15.75" x14ac:dyDescent="0.25">
      <c r="B43" s="331"/>
      <c r="C43" s="317"/>
      <c r="D43" s="317"/>
      <c r="E43" s="317"/>
      <c r="F43" s="332"/>
      <c r="G43" s="332"/>
      <c r="H43" s="332"/>
      <c r="I43" s="333"/>
      <c r="J43" s="334"/>
    </row>
    <row r="44" spans="2:10" ht="15.75" x14ac:dyDescent="0.25">
      <c r="B44" s="335" t="str">
        <f>COMPLEMENTO!D361</f>
        <v>05.105.0123-0</v>
      </c>
      <c r="C44" s="1079" t="str">
        <f>COMPLEMENTO!E361</f>
        <v>MAO-DE-OBRA DE AUXILIAR DE ALMOXARIFE,INCLUSIVE ENCARGOS SOCIAIS</v>
      </c>
      <c r="D44" s="1079"/>
      <c r="E44" s="1079"/>
      <c r="F44" s="1079"/>
      <c r="G44" s="1079"/>
      <c r="H44" s="1079"/>
      <c r="I44" s="336" t="s">
        <v>688</v>
      </c>
      <c r="J44" s="337">
        <f>E47</f>
        <v>6</v>
      </c>
    </row>
    <row r="45" spans="2:10" ht="15.75" x14ac:dyDescent="0.25">
      <c r="B45" s="316"/>
      <c r="C45" s="317"/>
      <c r="D45" s="317"/>
      <c r="E45" s="317"/>
      <c r="F45" s="318"/>
      <c r="G45" s="318"/>
      <c r="H45" s="318"/>
      <c r="I45" s="319"/>
      <c r="J45" s="320"/>
    </row>
    <row r="46" spans="2:10" ht="15.75" x14ac:dyDescent="0.25">
      <c r="B46" s="321"/>
      <c r="C46" s="322" t="s">
        <v>638</v>
      </c>
      <c r="D46" s="457" t="s">
        <v>639</v>
      </c>
      <c r="E46" s="322" t="s">
        <v>77</v>
      </c>
      <c r="F46" s="341"/>
      <c r="G46" s="324"/>
      <c r="H46" s="339"/>
      <c r="I46" s="319"/>
      <c r="J46" s="320"/>
    </row>
    <row r="47" spans="2:10" ht="15.75" x14ac:dyDescent="0.25">
      <c r="B47" s="325"/>
      <c r="C47" s="453">
        <v>1</v>
      </c>
      <c r="D47" s="453">
        <v>6</v>
      </c>
      <c r="E47" s="456">
        <f>C47*D47</f>
        <v>6</v>
      </c>
      <c r="F47" s="327"/>
      <c r="G47" s="328"/>
      <c r="H47" s="339"/>
      <c r="I47" s="329"/>
      <c r="J47" s="330"/>
    </row>
    <row r="48" spans="2:10" ht="15.75" x14ac:dyDescent="0.25">
      <c r="B48" s="331"/>
      <c r="C48" s="317"/>
      <c r="D48" s="317"/>
      <c r="E48" s="317"/>
      <c r="F48" s="332"/>
      <c r="G48" s="332"/>
      <c r="H48" s="332"/>
      <c r="I48" s="333"/>
      <c r="J48" s="334"/>
    </row>
    <row r="49" spans="2:10" ht="15.75" x14ac:dyDescent="0.25">
      <c r="B49" s="335" t="str">
        <f>COMPLEMENTO!D362</f>
        <v>05.105.0185-0</v>
      </c>
      <c r="C49" s="1079" t="str">
        <f>COMPLEMENTO!E362</f>
        <v>MAO-DE-OBRA DE APROPRIADOR,INCLUSIVE ENCARGOS SOCIAIS</v>
      </c>
      <c r="D49" s="1079"/>
      <c r="E49" s="1079"/>
      <c r="F49" s="1079"/>
      <c r="G49" s="1079"/>
      <c r="H49" s="1079"/>
      <c r="I49" s="336" t="s">
        <v>688</v>
      </c>
      <c r="J49" s="337">
        <f>E52</f>
        <v>6</v>
      </c>
    </row>
    <row r="50" spans="2:10" ht="15.75" x14ac:dyDescent="0.25">
      <c r="B50" s="316"/>
      <c r="C50" s="317"/>
      <c r="D50" s="317"/>
      <c r="E50" s="317"/>
      <c r="F50" s="318"/>
      <c r="G50" s="318"/>
      <c r="H50" s="318"/>
      <c r="I50" s="319"/>
      <c r="J50" s="320"/>
    </row>
    <row r="51" spans="2:10" ht="15.75" x14ac:dyDescent="0.25">
      <c r="B51" s="321"/>
      <c r="C51" s="322" t="s">
        <v>638</v>
      </c>
      <c r="D51" s="457" t="s">
        <v>639</v>
      </c>
      <c r="E51" s="322" t="s">
        <v>77</v>
      </c>
      <c r="F51" s="341"/>
      <c r="G51" s="324"/>
      <c r="H51" s="339"/>
      <c r="I51" s="319"/>
      <c r="J51" s="320"/>
    </row>
    <row r="52" spans="2:10" ht="15.75" x14ac:dyDescent="0.25">
      <c r="B52" s="325"/>
      <c r="C52" s="453">
        <v>1</v>
      </c>
      <c r="D52" s="453">
        <v>6</v>
      </c>
      <c r="E52" s="456">
        <f>C52*D52</f>
        <v>6</v>
      </c>
      <c r="F52" s="327"/>
      <c r="G52" s="328"/>
      <c r="H52" s="339"/>
      <c r="I52" s="329"/>
      <c r="J52" s="330"/>
    </row>
    <row r="53" spans="2:10" ht="15.75" x14ac:dyDescent="0.25">
      <c r="B53" s="331"/>
      <c r="C53" s="317"/>
      <c r="D53" s="317"/>
      <c r="E53" s="317"/>
      <c r="F53" s="332"/>
      <c r="G53" s="332"/>
      <c r="H53" s="332"/>
      <c r="I53" s="333"/>
      <c r="J53" s="334"/>
    </row>
    <row r="54" spans="2:10" ht="15.75" thickBot="1" x14ac:dyDescent="0.3">
      <c r="B54" s="26"/>
      <c r="C54" s="27"/>
      <c r="D54" s="27"/>
      <c r="E54" s="27"/>
      <c r="F54" s="27"/>
      <c r="G54" s="27"/>
      <c r="H54" s="27"/>
      <c r="I54" s="27"/>
      <c r="J54" s="28"/>
    </row>
  </sheetData>
  <mergeCells count="10">
    <mergeCell ref="C19:H19"/>
    <mergeCell ref="C2:H2"/>
    <mergeCell ref="C7:H7"/>
    <mergeCell ref="C13:H13"/>
    <mergeCell ref="C49:H49"/>
    <mergeCell ref="C24:H24"/>
    <mergeCell ref="C29:H29"/>
    <mergeCell ref="C34:H34"/>
    <mergeCell ref="C39:H39"/>
    <mergeCell ref="C44:H44"/>
  </mergeCells>
  <conditionalFormatting sqref="C49:C50 C2:C23 C53">
    <cfRule type="expression" dxfId="11" priority="14" stopIfTrue="1">
      <formula>OR($O2="M",$O2="A")</formula>
    </cfRule>
  </conditionalFormatting>
  <conditionalFormatting sqref="C24:C25 C28">
    <cfRule type="expression" dxfId="10" priority="13" stopIfTrue="1">
      <formula>OR($O24="M",$O24="A")</formula>
    </cfRule>
  </conditionalFormatting>
  <conditionalFormatting sqref="C29:C30 C33">
    <cfRule type="expression" dxfId="9" priority="12" stopIfTrue="1">
      <formula>OR($O29="M",$O29="A")</formula>
    </cfRule>
  </conditionalFormatting>
  <conditionalFormatting sqref="C34:C35 C38">
    <cfRule type="expression" dxfId="8" priority="11" stopIfTrue="1">
      <formula>OR($O34="M",$O34="A")</formula>
    </cfRule>
  </conditionalFormatting>
  <conditionalFormatting sqref="C26:C27">
    <cfRule type="expression" dxfId="7" priority="10" stopIfTrue="1">
      <formula>OR($O26="M",$O26="A")</formula>
    </cfRule>
  </conditionalFormatting>
  <conditionalFormatting sqref="C31:C32">
    <cfRule type="expression" dxfId="6" priority="9" stopIfTrue="1">
      <formula>OR($O31="M",$O31="A")</formula>
    </cfRule>
  </conditionalFormatting>
  <conditionalFormatting sqref="C36:C37">
    <cfRule type="expression" dxfId="5" priority="8" stopIfTrue="1">
      <formula>OR($O36="M",$O36="A")</formula>
    </cfRule>
  </conditionalFormatting>
  <conditionalFormatting sqref="C39:C40 C43">
    <cfRule type="expression" dxfId="4" priority="7" stopIfTrue="1">
      <formula>OR($O39="M",$O39="A")</formula>
    </cfRule>
  </conditionalFormatting>
  <conditionalFormatting sqref="C44:C45 C48">
    <cfRule type="expression" dxfId="3" priority="6" stopIfTrue="1">
      <formula>OR($O44="M",$O44="A")</formula>
    </cfRule>
  </conditionalFormatting>
  <conditionalFormatting sqref="C41:C42">
    <cfRule type="expression" dxfId="2" priority="4" stopIfTrue="1">
      <formula>OR($O41="M",$O41="A")</formula>
    </cfRule>
  </conditionalFormatting>
  <conditionalFormatting sqref="C46:C47">
    <cfRule type="expression" dxfId="1" priority="3" stopIfTrue="1">
      <formula>OR($O46="M",$O46="A")</formula>
    </cfRule>
  </conditionalFormatting>
  <conditionalFormatting sqref="C51:C52">
    <cfRule type="expression" dxfId="0" priority="1" stopIfTrue="1">
      <formula>OR($O51="M",$O51="A")</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M45"/>
  <sheetViews>
    <sheetView topLeftCell="A19" workbookViewId="0">
      <selection activeCell="H43" sqref="H43"/>
    </sheetView>
  </sheetViews>
  <sheetFormatPr defaultRowHeight="15" x14ac:dyDescent="0.25"/>
  <cols>
    <col min="7" max="7" width="25.140625" bestFit="1" customWidth="1"/>
    <col min="8" max="8" width="14" customWidth="1"/>
    <col min="9" max="10" width="14.7109375" customWidth="1"/>
    <col min="11" max="11" width="26.5703125" bestFit="1" customWidth="1"/>
    <col min="12" max="12" width="22.7109375" customWidth="1"/>
  </cols>
  <sheetData>
    <row r="3" spans="4:13" ht="15.75" thickBot="1" x14ac:dyDescent="0.3"/>
    <row r="4" spans="4:13" x14ac:dyDescent="0.25">
      <c r="D4" s="458" t="str">
        <f>[1]CTI!C4</f>
        <v>HOSPITAL ESTADUAL EDUARDO RABELLO</v>
      </c>
      <c r="E4" s="459"/>
      <c r="F4" s="459"/>
      <c r="G4" s="460"/>
    </row>
    <row r="5" spans="4:13" ht="15.75" thickBot="1" x14ac:dyDescent="0.3">
      <c r="D5" s="461" t="str">
        <f>[1]CTI!C5</f>
        <v>LEVANTAMENTO DE QUANTIDADES</v>
      </c>
      <c r="E5" s="462"/>
      <c r="F5" s="462"/>
      <c r="G5" s="463"/>
    </row>
    <row r="6" spans="4:13" ht="15.75" thickBot="1" x14ac:dyDescent="0.3">
      <c r="H6" s="1081" t="s">
        <v>701</v>
      </c>
      <c r="I6" s="1082"/>
      <c r="J6" s="1082"/>
      <c r="K6" s="1082"/>
      <c r="L6" s="1083"/>
    </row>
    <row r="7" spans="4:13" ht="45.75" thickBot="1" x14ac:dyDescent="0.3">
      <c r="D7" s="1084" t="s">
        <v>702</v>
      </c>
      <c r="E7" s="1085"/>
      <c r="F7" s="1086"/>
      <c r="G7" s="464" t="s">
        <v>703</v>
      </c>
      <c r="H7" s="465" t="s">
        <v>704</v>
      </c>
      <c r="I7" s="464" t="s">
        <v>705</v>
      </c>
      <c r="J7" s="464" t="s">
        <v>706</v>
      </c>
      <c r="K7" s="483" t="s">
        <v>707</v>
      </c>
      <c r="L7" s="485" t="s">
        <v>708</v>
      </c>
      <c r="M7" s="444"/>
    </row>
    <row r="8" spans="4:13" ht="15.75" thickBot="1" x14ac:dyDescent="0.3">
      <c r="D8" s="466" t="str">
        <f>'[1]CENTRO DE IMAGEM'!C10</f>
        <v>CENTRO DE IMAGEM</v>
      </c>
      <c r="E8" s="467"/>
      <c r="F8" s="467"/>
      <c r="G8" s="468">
        <v>365</v>
      </c>
      <c r="H8" s="469">
        <v>555.35</v>
      </c>
      <c r="I8" s="470">
        <v>2081.8249999999998</v>
      </c>
      <c r="J8" s="471">
        <v>1138.8</v>
      </c>
      <c r="K8" s="469">
        <v>28.91</v>
      </c>
      <c r="L8" s="484">
        <v>7.0875000000000004</v>
      </c>
      <c r="M8" s="5"/>
    </row>
    <row r="9" spans="4:13" ht="15.75" thickBot="1" x14ac:dyDescent="0.3">
      <c r="G9" s="5"/>
      <c r="H9" s="472"/>
      <c r="I9" s="473"/>
      <c r="J9" s="472"/>
      <c r="K9" s="472"/>
      <c r="L9" s="472"/>
    </row>
    <row r="10" spans="4:13" ht="15.75" thickBot="1" x14ac:dyDescent="0.3">
      <c r="D10" s="466" t="str">
        <f>'[1]ALA "C"'!C10</f>
        <v>ALA " C"</v>
      </c>
      <c r="E10" s="467"/>
      <c r="F10" s="467"/>
      <c r="G10" s="468">
        <v>635</v>
      </c>
      <c r="H10" s="470">
        <v>626.85</v>
      </c>
      <c r="I10" s="470">
        <v>3014.4150000000004</v>
      </c>
      <c r="J10" s="470">
        <v>0</v>
      </c>
      <c r="K10" s="470">
        <v>24.718500000000002</v>
      </c>
      <c r="L10" s="474">
        <v>18.900000000000002</v>
      </c>
    </row>
    <row r="11" spans="4:13" ht="15.75" thickBot="1" x14ac:dyDescent="0.3">
      <c r="G11" s="5"/>
      <c r="H11" s="473"/>
      <c r="I11" s="473"/>
      <c r="J11" s="473"/>
      <c r="K11" s="473"/>
      <c r="L11" s="473"/>
    </row>
    <row r="12" spans="4:13" ht="15.75" thickBot="1" x14ac:dyDescent="0.3">
      <c r="D12" s="466" t="str">
        <f>'[1]ALA "B"'!C10</f>
        <v>ALA " B"</v>
      </c>
      <c r="E12" s="467"/>
      <c r="F12" s="467"/>
      <c r="G12" s="468">
        <v>635</v>
      </c>
      <c r="H12" s="470">
        <v>32.4</v>
      </c>
      <c r="I12" s="470">
        <v>51.84</v>
      </c>
      <c r="J12" s="470">
        <v>0</v>
      </c>
      <c r="K12" s="470">
        <v>1.296</v>
      </c>
      <c r="L12" s="474"/>
    </row>
    <row r="13" spans="4:13" ht="15.75" thickBot="1" x14ac:dyDescent="0.3">
      <c r="G13" s="5"/>
      <c r="H13" s="473"/>
      <c r="I13" s="473"/>
      <c r="J13" s="473"/>
      <c r="K13" s="473"/>
      <c r="L13" s="473"/>
    </row>
    <row r="14" spans="4:13" ht="15.75" thickBot="1" x14ac:dyDescent="0.3">
      <c r="D14" s="466" t="str">
        <f>[1]PATRIMÔNIO!C10</f>
        <v>PATRIMÔNIO</v>
      </c>
      <c r="E14" s="467"/>
      <c r="F14" s="467"/>
      <c r="G14" s="468">
        <v>625</v>
      </c>
      <c r="H14" s="470">
        <v>543.15000000000009</v>
      </c>
      <c r="I14" s="470">
        <v>1719.9</v>
      </c>
      <c r="J14" s="470">
        <v>0</v>
      </c>
      <c r="K14" s="470">
        <v>18.967500000000001</v>
      </c>
      <c r="L14" s="474">
        <v>24.570000000000004</v>
      </c>
    </row>
    <row r="15" spans="4:13" ht="15.75" thickBot="1" x14ac:dyDescent="0.3">
      <c r="G15" s="5"/>
      <c r="H15" s="473"/>
      <c r="I15" s="473"/>
      <c r="J15" s="473"/>
      <c r="K15" s="473"/>
      <c r="L15" s="473"/>
    </row>
    <row r="16" spans="4:13" ht="15.75" thickBot="1" x14ac:dyDescent="0.3">
      <c r="D16" s="466" t="str">
        <f>[1]CME!C10</f>
        <v>CME</v>
      </c>
      <c r="E16" s="467"/>
      <c r="F16" s="467"/>
      <c r="G16" s="468">
        <v>280</v>
      </c>
      <c r="H16" s="470">
        <v>99.225000000000023</v>
      </c>
      <c r="I16" s="470">
        <v>545.73749999999973</v>
      </c>
      <c r="J16" s="470">
        <v>0</v>
      </c>
      <c r="K16" s="470"/>
      <c r="L16" s="474">
        <v>7.7962499999999961</v>
      </c>
    </row>
    <row r="17" spans="4:12" ht="15.75" thickBot="1" x14ac:dyDescent="0.3">
      <c r="G17" s="5"/>
      <c r="H17" s="473"/>
      <c r="I17" s="473"/>
      <c r="J17" s="473"/>
      <c r="K17" s="473"/>
      <c r="L17" s="473"/>
    </row>
    <row r="18" spans="4:12" ht="15.75" thickBot="1" x14ac:dyDescent="0.3">
      <c r="D18" s="466" t="str">
        <f>[1]LABORATÓRIO!C10</f>
        <v>LABORATÓRIO</v>
      </c>
      <c r="E18" s="467"/>
      <c r="F18" s="467"/>
      <c r="G18" s="468">
        <v>165</v>
      </c>
      <c r="H18" s="470">
        <v>213.3</v>
      </c>
      <c r="I18" s="470">
        <v>496.12500000000011</v>
      </c>
      <c r="J18" s="470">
        <v>0</v>
      </c>
      <c r="K18" s="470">
        <v>8.3025000000000002</v>
      </c>
      <c r="L18" s="474">
        <v>7.0875000000000012</v>
      </c>
    </row>
    <row r="19" spans="4:12" ht="15.75" thickBot="1" x14ac:dyDescent="0.3">
      <c r="G19" s="5"/>
      <c r="H19" s="473"/>
      <c r="I19" s="473"/>
      <c r="J19" s="473"/>
      <c r="K19" s="473"/>
      <c r="L19" s="473"/>
    </row>
    <row r="20" spans="4:12" ht="15.75" thickBot="1" x14ac:dyDescent="0.3">
      <c r="D20" s="466" t="str">
        <f>[1]CTI!C10</f>
        <v>CTI</v>
      </c>
      <c r="E20" s="467"/>
      <c r="F20" s="467"/>
      <c r="G20" s="468">
        <v>111</v>
      </c>
      <c r="H20" s="470">
        <v>203.85000000000002</v>
      </c>
      <c r="I20" s="470">
        <v>793.80000000000007</v>
      </c>
      <c r="J20" s="470">
        <v>0</v>
      </c>
      <c r="K20" s="470">
        <v>6.4125000000000005</v>
      </c>
      <c r="L20" s="474">
        <v>11.340000000000002</v>
      </c>
    </row>
    <row r="21" spans="4:12" ht="15.75" thickBot="1" x14ac:dyDescent="0.3">
      <c r="G21" s="475"/>
      <c r="H21" s="476"/>
      <c r="I21" s="476"/>
      <c r="J21" s="476"/>
      <c r="K21" s="476"/>
      <c r="L21" s="476"/>
    </row>
    <row r="22" spans="4:12" ht="15.75" thickBot="1" x14ac:dyDescent="0.3">
      <c r="D22" s="466" t="str">
        <f>'[1]ALA A'!C10</f>
        <v>ALA - A</v>
      </c>
      <c r="E22" s="467"/>
      <c r="F22" s="467"/>
      <c r="G22" s="468">
        <v>580</v>
      </c>
      <c r="H22" s="470">
        <v>36.03</v>
      </c>
      <c r="I22" s="470">
        <v>243.91500000000002</v>
      </c>
      <c r="J22" s="470"/>
      <c r="K22" s="470"/>
      <c r="L22" s="474">
        <v>3.4844999999999997</v>
      </c>
    </row>
    <row r="23" spans="4:12" ht="15.75" thickBot="1" x14ac:dyDescent="0.3">
      <c r="G23" s="475"/>
      <c r="H23" s="476"/>
      <c r="I23" s="476"/>
      <c r="J23" s="476"/>
      <c r="K23" s="476"/>
      <c r="L23" s="476"/>
    </row>
    <row r="24" spans="4:12" ht="15.75" thickBot="1" x14ac:dyDescent="0.3">
      <c r="D24" s="477" t="str">
        <f>'[1]ALA E'!C10</f>
        <v>ALA - E</v>
      </c>
      <c r="E24" s="467"/>
      <c r="F24" s="467"/>
      <c r="G24" s="468">
        <v>364</v>
      </c>
      <c r="H24" s="470">
        <v>86.249999999999986</v>
      </c>
      <c r="I24" s="470">
        <v>368.02500000000009</v>
      </c>
      <c r="J24" s="470"/>
      <c r="K24" s="470"/>
      <c r="L24" s="474">
        <v>5.2574999999999994</v>
      </c>
    </row>
    <row r="25" spans="4:12" ht="15.75" thickBot="1" x14ac:dyDescent="0.3">
      <c r="G25" s="475"/>
      <c r="H25" s="476"/>
      <c r="I25" s="476"/>
      <c r="J25" s="476"/>
      <c r="K25" s="476"/>
      <c r="L25" s="476"/>
    </row>
    <row r="26" spans="4:12" ht="15.75" thickBot="1" x14ac:dyDescent="0.3">
      <c r="D26" s="466" t="str">
        <f>[1]AMBULATÓRIO!C10</f>
        <v>AMBULATÓRIO</v>
      </c>
      <c r="E26" s="467"/>
      <c r="F26" s="467"/>
      <c r="G26" s="468">
        <v>364.81</v>
      </c>
      <c r="H26" s="470">
        <v>10.95</v>
      </c>
      <c r="I26" s="470">
        <v>60.375</v>
      </c>
      <c r="J26" s="470"/>
      <c r="K26" s="470"/>
      <c r="L26" s="474">
        <v>0.86250000000000004</v>
      </c>
    </row>
    <row r="27" spans="4:12" ht="15.75" thickBot="1" x14ac:dyDescent="0.3">
      <c r="G27" s="475"/>
      <c r="H27" s="476"/>
      <c r="I27" s="476"/>
      <c r="J27" s="476"/>
      <c r="K27" s="476"/>
      <c r="L27" s="476"/>
    </row>
    <row r="28" spans="4:12" ht="15.75" thickBot="1" x14ac:dyDescent="0.3">
      <c r="D28" s="466" t="s">
        <v>709</v>
      </c>
      <c r="E28" s="467"/>
      <c r="F28" s="467"/>
      <c r="G28" s="468">
        <v>164.34</v>
      </c>
      <c r="H28" s="469">
        <v>36</v>
      </c>
      <c r="I28" s="470">
        <v>214.20000000000005</v>
      </c>
      <c r="J28" s="470"/>
      <c r="K28" s="470"/>
      <c r="L28" s="474">
        <v>3.0600000000000005</v>
      </c>
    </row>
    <row r="29" spans="4:12" ht="15.75" thickBot="1" x14ac:dyDescent="0.3">
      <c r="G29" s="475"/>
      <c r="H29" s="476"/>
      <c r="I29" s="476"/>
      <c r="J29" s="476"/>
      <c r="K29" s="476"/>
      <c r="L29" s="476"/>
    </row>
    <row r="30" spans="4:12" ht="15.75" thickBot="1" x14ac:dyDescent="0.3">
      <c r="D30" s="466" t="str">
        <f>[1]COZINHA!C10</f>
        <v>COZINHA</v>
      </c>
      <c r="E30" s="467"/>
      <c r="F30" s="467"/>
      <c r="G30" s="468">
        <v>150.4</v>
      </c>
      <c r="H30" s="469">
        <v>98.25</v>
      </c>
      <c r="I30" s="470">
        <v>454.12500000000006</v>
      </c>
      <c r="J30" s="470"/>
      <c r="K30" s="470"/>
      <c r="L30" s="474">
        <v>6.4874999999999989</v>
      </c>
    </row>
    <row r="31" spans="4:12" ht="15.75" thickBot="1" x14ac:dyDescent="0.3">
      <c r="G31" s="475"/>
      <c r="H31" s="476"/>
      <c r="I31" s="476"/>
      <c r="J31" s="476"/>
      <c r="K31" s="476"/>
      <c r="L31" s="476"/>
    </row>
    <row r="32" spans="4:12" ht="15.75" thickBot="1" x14ac:dyDescent="0.3">
      <c r="D32" s="466" t="str">
        <f>[1]ENFERMAGEM!C10</f>
        <v>ENFERMAGEM</v>
      </c>
      <c r="E32" s="467"/>
      <c r="F32" s="467"/>
      <c r="G32" s="468">
        <v>44.65</v>
      </c>
      <c r="H32" s="470">
        <v>6.3000000000000007</v>
      </c>
      <c r="I32" s="470">
        <v>66.150000000000006</v>
      </c>
      <c r="J32" s="470"/>
      <c r="K32" s="470"/>
      <c r="L32" s="474">
        <v>0.94500000000000006</v>
      </c>
    </row>
    <row r="33" spans="4:12" ht="15.75" thickBot="1" x14ac:dyDescent="0.3">
      <c r="G33" s="475"/>
      <c r="H33" s="476"/>
      <c r="I33" s="476"/>
      <c r="J33" s="476"/>
      <c r="K33" s="476"/>
      <c r="L33" s="476"/>
    </row>
    <row r="34" spans="4:12" ht="15.75" thickBot="1" x14ac:dyDescent="0.3">
      <c r="D34" s="466" t="str">
        <f>'[1]HOSPITAL DO OLHO'!C10</f>
        <v>HOSPITAL  DO OLHO</v>
      </c>
      <c r="E34" s="467"/>
      <c r="F34" s="467"/>
      <c r="G34" s="468">
        <v>1107</v>
      </c>
      <c r="H34" s="470">
        <v>44.099999999999994</v>
      </c>
      <c r="I34" s="470">
        <v>463.0499999999999</v>
      </c>
      <c r="J34" s="470"/>
      <c r="K34" s="470"/>
      <c r="L34" s="474">
        <v>6.6150000000000011</v>
      </c>
    </row>
    <row r="35" spans="4:12" ht="15.75" thickBot="1" x14ac:dyDescent="0.3">
      <c r="G35" s="475"/>
      <c r="H35" s="476"/>
      <c r="I35" s="476"/>
      <c r="J35" s="476"/>
      <c r="K35" s="476"/>
      <c r="L35" s="476"/>
    </row>
    <row r="36" spans="4:12" ht="15.75" thickBot="1" x14ac:dyDescent="0.3">
      <c r="D36" s="466" t="str">
        <f>[1]ADMINISTRATIVO_RECEPÇÃO!C10</f>
        <v>ADMINISTRATIVO/RECEPÇÃO</v>
      </c>
      <c r="E36" s="467"/>
      <c r="F36" s="467"/>
      <c r="G36" s="468">
        <v>500</v>
      </c>
      <c r="H36" s="470">
        <v>115.34999999999998</v>
      </c>
      <c r="I36" s="470">
        <v>469.87500000000006</v>
      </c>
      <c r="J36" s="470"/>
      <c r="K36" s="470"/>
      <c r="L36" s="474">
        <v>6.7125000000000004</v>
      </c>
    </row>
    <row r="37" spans="4:12" x14ac:dyDescent="0.25">
      <c r="G37" s="5"/>
      <c r="H37" s="478"/>
      <c r="I37" s="478"/>
      <c r="J37" s="478"/>
      <c r="K37" s="478"/>
      <c r="L37" s="478"/>
    </row>
    <row r="38" spans="4:12" ht="15.75" thickBot="1" x14ac:dyDescent="0.3">
      <c r="G38" s="5"/>
      <c r="H38" s="451"/>
      <c r="I38" s="478"/>
      <c r="J38" s="451"/>
      <c r="K38" s="451"/>
      <c r="L38" s="451"/>
    </row>
    <row r="39" spans="4:12" ht="15.75" thickBot="1" x14ac:dyDescent="0.3">
      <c r="G39" s="479" t="s">
        <v>710</v>
      </c>
      <c r="H39" s="480">
        <f>SUM(H8:H36)</f>
        <v>2707.3550000000005</v>
      </c>
      <c r="I39" s="480">
        <f>SUM(I8:I37)</f>
        <v>11043.357499999998</v>
      </c>
      <c r="J39" s="480">
        <f>SUM(J8:J37)</f>
        <v>1138.8</v>
      </c>
      <c r="K39" s="480">
        <f>SUM(K8:K37)</f>
        <v>88.606999999999985</v>
      </c>
      <c r="L39" s="481">
        <f>SUM(L8:L37)</f>
        <v>110.20574999999998</v>
      </c>
    </row>
    <row r="40" spans="4:12" x14ac:dyDescent="0.25">
      <c r="G40" s="5"/>
      <c r="H40" s="451"/>
      <c r="I40" s="478"/>
      <c r="J40" s="451"/>
      <c r="K40" s="451"/>
      <c r="L40" s="451"/>
    </row>
    <row r="41" spans="4:12" x14ac:dyDescent="0.25">
      <c r="G41" s="5" t="s">
        <v>712</v>
      </c>
      <c r="H41" s="482">
        <f>H39*0.03</f>
        <v>81.220650000000006</v>
      </c>
      <c r="I41" s="478"/>
      <c r="J41" s="451"/>
      <c r="K41" s="482">
        <f>(K8+K10+K12+K14+K18+K20)*0.06+K39</f>
        <v>93.923419999999979</v>
      </c>
      <c r="L41" s="482">
        <f>L39+K41</f>
        <v>204.12916999999996</v>
      </c>
    </row>
    <row r="42" spans="4:12" x14ac:dyDescent="0.25">
      <c r="G42" s="5"/>
    </row>
    <row r="43" spans="4:12" x14ac:dyDescent="0.25">
      <c r="G43" s="5"/>
      <c r="H43" s="342"/>
    </row>
    <row r="44" spans="4:12" x14ac:dyDescent="0.25">
      <c r="G44" s="5"/>
      <c r="H44" s="6"/>
      <c r="K44" s="486" t="s">
        <v>711</v>
      </c>
      <c r="L44" s="342">
        <f>K39+L39</f>
        <v>198.81274999999997</v>
      </c>
    </row>
    <row r="45" spans="4:12" x14ac:dyDescent="0.25">
      <c r="G45" s="5"/>
    </row>
  </sheetData>
  <mergeCells count="2">
    <mergeCell ref="H6:L6"/>
    <mergeCell ref="D7:F7"/>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0"/>
  <sheetViews>
    <sheetView view="pageBreakPreview" zoomScale="77" zoomScaleNormal="64" zoomScaleSheetLayoutView="77" workbookViewId="0">
      <selection activeCell="S21" sqref="S21"/>
    </sheetView>
  </sheetViews>
  <sheetFormatPr defaultRowHeight="15" x14ac:dyDescent="0.25"/>
  <cols>
    <col min="2" max="2" width="14" style="24" bestFit="1" customWidth="1"/>
    <col min="3" max="3" width="17.85546875" style="24" customWidth="1"/>
    <col min="4" max="4" width="40.85546875" style="24" customWidth="1"/>
    <col min="5" max="5" width="21" style="24" bestFit="1" customWidth="1"/>
    <col min="6" max="6" width="18.85546875" style="50" customWidth="1"/>
    <col min="7" max="7" width="26" style="24" customWidth="1"/>
    <col min="8" max="8" width="14.42578125" style="24" customWidth="1"/>
    <col min="9" max="9" width="10.42578125" style="24" bestFit="1" customWidth="1"/>
    <col min="10" max="10" width="11.5703125" style="24" customWidth="1"/>
    <col min="11" max="11" width="13.42578125" style="24" customWidth="1"/>
    <col min="12" max="12" width="12.140625" style="546" bestFit="1" customWidth="1"/>
    <col min="13" max="13" width="13.28515625" customWidth="1"/>
    <col min="14" max="14" width="11.85546875" bestFit="1" customWidth="1"/>
  </cols>
  <sheetData>
    <row r="1" spans="2:12" ht="15.75" thickBot="1" x14ac:dyDescent="0.3">
      <c r="B1" s="47"/>
      <c r="C1" s="47"/>
      <c r="D1" s="47"/>
      <c r="E1" s="47"/>
      <c r="F1" s="54"/>
      <c r="G1" s="47"/>
      <c r="H1" s="47"/>
      <c r="I1" s="47"/>
      <c r="J1" s="47"/>
      <c r="K1" s="47"/>
      <c r="L1" s="540"/>
    </row>
    <row r="2" spans="2:12" ht="16.5" thickBot="1" x14ac:dyDescent="0.3">
      <c r="B2" s="615">
        <v>1</v>
      </c>
      <c r="C2" s="1119" t="s">
        <v>215</v>
      </c>
      <c r="D2" s="1120"/>
      <c r="E2" s="1120"/>
      <c r="F2" s="1120"/>
      <c r="G2" s="1120"/>
      <c r="H2" s="1120"/>
      <c r="I2" s="1120"/>
      <c r="J2" s="1120"/>
      <c r="K2" s="1120"/>
      <c r="L2" s="1121"/>
    </row>
    <row r="3" spans="2:12" ht="15.75" x14ac:dyDescent="0.25">
      <c r="B3" s="616"/>
      <c r="C3" s="2" t="s">
        <v>73</v>
      </c>
      <c r="D3" s="1116" t="s">
        <v>599</v>
      </c>
      <c r="E3" s="1117"/>
      <c r="F3" s="1117"/>
      <c r="G3" s="1117"/>
      <c r="H3" s="1117"/>
      <c r="I3" s="1117"/>
      <c r="J3" s="1118"/>
      <c r="K3" s="2" t="s">
        <v>5</v>
      </c>
      <c r="L3" s="617">
        <f>K6</f>
        <v>1182.7600000000004</v>
      </c>
    </row>
    <row r="4" spans="2:12" ht="15.75" x14ac:dyDescent="0.25">
      <c r="B4" s="618"/>
      <c r="C4" s="55"/>
      <c r="D4" s="87"/>
      <c r="E4" s="87"/>
      <c r="F4" s="56"/>
      <c r="G4" s="56"/>
      <c r="H4" s="56"/>
      <c r="I4" s="56"/>
      <c r="J4" s="56"/>
      <c r="K4" s="80"/>
      <c r="L4" s="619"/>
    </row>
    <row r="5" spans="2:12" ht="15.75" x14ac:dyDescent="0.25">
      <c r="B5" s="620"/>
      <c r="C5" s="85"/>
      <c r="D5" s="578" t="s">
        <v>106</v>
      </c>
      <c r="E5" s="578" t="s">
        <v>218</v>
      </c>
      <c r="F5" s="86"/>
      <c r="G5" s="53"/>
      <c r="H5" s="53"/>
      <c r="I5" s="53"/>
      <c r="J5" s="88"/>
      <c r="K5" s="583" t="s">
        <v>245</v>
      </c>
      <c r="L5" s="621"/>
    </row>
    <row r="6" spans="2:12" ht="15.75" x14ac:dyDescent="0.25">
      <c r="B6" s="620"/>
      <c r="C6" s="85"/>
      <c r="D6" s="74" t="s">
        <v>84</v>
      </c>
      <c r="E6" s="71">
        <v>30.6</v>
      </c>
      <c r="F6" s="86"/>
      <c r="G6" s="53"/>
      <c r="H6" s="53"/>
      <c r="I6" s="53"/>
      <c r="J6" s="88"/>
      <c r="K6" s="81">
        <f>E28*2</f>
        <v>1182.7600000000004</v>
      </c>
      <c r="L6" s="621"/>
    </row>
    <row r="7" spans="2:12" ht="15.75" x14ac:dyDescent="0.25">
      <c r="B7" s="620"/>
      <c r="C7" s="85"/>
      <c r="D7" s="581" t="s">
        <v>85</v>
      </c>
      <c r="E7" s="71">
        <v>90.75</v>
      </c>
      <c r="F7" s="86"/>
      <c r="G7" s="53"/>
      <c r="H7" s="53"/>
      <c r="I7" s="53"/>
      <c r="J7" s="53"/>
      <c r="K7" s="49"/>
      <c r="L7" s="622"/>
    </row>
    <row r="8" spans="2:12" ht="15.75" x14ac:dyDescent="0.25">
      <c r="B8" s="620"/>
      <c r="C8" s="85"/>
      <c r="D8" s="581" t="s">
        <v>86</v>
      </c>
      <c r="E8" s="71">
        <v>34.67</v>
      </c>
      <c r="F8" s="86"/>
      <c r="G8" s="53"/>
      <c r="H8" s="53"/>
      <c r="I8" s="53"/>
      <c r="J8" s="53"/>
      <c r="K8" s="52"/>
      <c r="L8" s="622"/>
    </row>
    <row r="9" spans="2:12" ht="15.75" x14ac:dyDescent="0.25">
      <c r="B9" s="620"/>
      <c r="C9" s="85"/>
      <c r="D9" s="581" t="s">
        <v>87</v>
      </c>
      <c r="E9" s="71">
        <v>34.67</v>
      </c>
      <c r="F9" s="86"/>
      <c r="G9" s="53"/>
      <c r="H9" s="53"/>
      <c r="I9" s="53"/>
      <c r="J9" s="53"/>
      <c r="K9" s="52"/>
      <c r="L9" s="622"/>
    </row>
    <row r="10" spans="2:12" ht="15.75" x14ac:dyDescent="0.25">
      <c r="B10" s="620"/>
      <c r="C10" s="85"/>
      <c r="D10" s="581" t="s">
        <v>88</v>
      </c>
      <c r="E10" s="71">
        <v>34.67</v>
      </c>
      <c r="F10" s="86"/>
      <c r="G10" s="53"/>
      <c r="H10" s="53"/>
      <c r="I10" s="53"/>
      <c r="J10" s="53"/>
      <c r="K10" s="52"/>
      <c r="L10" s="622"/>
    </row>
    <row r="11" spans="2:12" ht="15.75" x14ac:dyDescent="0.25">
      <c r="B11" s="620"/>
      <c r="C11" s="85"/>
      <c r="D11" s="581" t="s">
        <v>89</v>
      </c>
      <c r="E11" s="71">
        <v>34.67</v>
      </c>
      <c r="F11" s="86"/>
      <c r="G11" s="53"/>
      <c r="H11" s="53"/>
      <c r="I11" s="53"/>
      <c r="J11" s="53"/>
      <c r="K11" s="52"/>
      <c r="L11" s="622"/>
    </row>
    <row r="12" spans="2:12" ht="15.75" x14ac:dyDescent="0.25">
      <c r="B12" s="620"/>
      <c r="C12" s="85"/>
      <c r="D12" s="581" t="s">
        <v>90</v>
      </c>
      <c r="E12" s="71">
        <v>34.67</v>
      </c>
      <c r="F12" s="86"/>
      <c r="G12" s="53"/>
      <c r="H12" s="53"/>
      <c r="I12" s="53"/>
      <c r="J12" s="53"/>
      <c r="K12" s="52"/>
      <c r="L12" s="622"/>
    </row>
    <row r="13" spans="2:12" ht="15.75" x14ac:dyDescent="0.25">
      <c r="B13" s="620"/>
      <c r="C13" s="85"/>
      <c r="D13" s="581" t="s">
        <v>91</v>
      </c>
      <c r="E13" s="71">
        <v>34.67</v>
      </c>
      <c r="F13" s="86"/>
      <c r="G13" s="53"/>
      <c r="H13" s="53"/>
      <c r="I13" s="53"/>
      <c r="J13" s="53"/>
      <c r="K13" s="52"/>
      <c r="L13" s="622"/>
    </row>
    <row r="14" spans="2:12" ht="15.75" x14ac:dyDescent="0.25">
      <c r="B14" s="620"/>
      <c r="C14" s="85"/>
      <c r="D14" s="581" t="s">
        <v>92</v>
      </c>
      <c r="E14" s="71">
        <v>34.67</v>
      </c>
      <c r="F14" s="86"/>
      <c r="G14" s="53"/>
      <c r="H14" s="53"/>
      <c r="I14" s="53"/>
      <c r="J14" s="53"/>
      <c r="K14" s="52"/>
      <c r="L14" s="622"/>
    </row>
    <row r="15" spans="2:12" ht="15.75" x14ac:dyDescent="0.25">
      <c r="B15" s="620"/>
      <c r="C15" s="85"/>
      <c r="D15" s="581" t="s">
        <v>93</v>
      </c>
      <c r="E15" s="71">
        <v>34.67</v>
      </c>
      <c r="F15" s="86"/>
      <c r="G15" s="53"/>
      <c r="H15" s="53"/>
      <c r="I15" s="53"/>
      <c r="J15" s="53"/>
      <c r="K15" s="52"/>
      <c r="L15" s="622"/>
    </row>
    <row r="16" spans="2:12" ht="15.75" x14ac:dyDescent="0.25">
      <c r="B16" s="620"/>
      <c r="C16" s="85"/>
      <c r="D16" s="581" t="s">
        <v>94</v>
      </c>
      <c r="E16" s="71">
        <v>34.67</v>
      </c>
      <c r="F16" s="86"/>
      <c r="G16" s="53"/>
      <c r="H16" s="53"/>
      <c r="I16" s="53"/>
      <c r="J16" s="53"/>
      <c r="K16" s="52"/>
      <c r="L16" s="622"/>
    </row>
    <row r="17" spans="2:12" ht="15.75" x14ac:dyDescent="0.25">
      <c r="B17" s="620"/>
      <c r="C17" s="85"/>
      <c r="D17" s="581" t="s">
        <v>95</v>
      </c>
      <c r="E17" s="71">
        <v>34.67</v>
      </c>
      <c r="F17" s="86"/>
      <c r="G17" s="53"/>
      <c r="H17" s="53"/>
      <c r="I17" s="53"/>
      <c r="J17" s="53"/>
      <c r="K17" s="52"/>
      <c r="L17" s="622"/>
    </row>
    <row r="18" spans="2:12" ht="15.75" x14ac:dyDescent="0.25">
      <c r="B18" s="620"/>
      <c r="C18" s="85"/>
      <c r="D18" s="581" t="s">
        <v>96</v>
      </c>
      <c r="E18" s="71">
        <v>10.23</v>
      </c>
      <c r="F18" s="86"/>
      <c r="G18" s="53"/>
      <c r="H18" s="53"/>
      <c r="I18" s="53"/>
      <c r="J18" s="53"/>
      <c r="K18" s="52"/>
      <c r="L18" s="622"/>
    </row>
    <row r="19" spans="2:12" ht="15.75" x14ac:dyDescent="0.25">
      <c r="B19" s="620"/>
      <c r="C19" s="85"/>
      <c r="D19" s="581" t="s">
        <v>97</v>
      </c>
      <c r="E19" s="71">
        <v>2.8</v>
      </c>
      <c r="F19" s="86"/>
      <c r="G19" s="53"/>
      <c r="H19" s="53"/>
      <c r="I19" s="53"/>
      <c r="J19" s="53"/>
      <c r="K19" s="52"/>
      <c r="L19" s="622"/>
    </row>
    <row r="20" spans="2:12" ht="15.75" x14ac:dyDescent="0.25">
      <c r="B20" s="620"/>
      <c r="C20" s="85"/>
      <c r="D20" s="581" t="s">
        <v>98</v>
      </c>
      <c r="E20" s="71">
        <v>4.8</v>
      </c>
      <c r="F20" s="86"/>
      <c r="G20" s="53"/>
      <c r="H20" s="53"/>
      <c r="I20" s="53"/>
      <c r="J20" s="53"/>
      <c r="K20" s="52"/>
      <c r="L20" s="622"/>
    </row>
    <row r="21" spans="2:12" ht="15.75" x14ac:dyDescent="0.25">
      <c r="B21" s="620"/>
      <c r="C21" s="85"/>
      <c r="D21" s="581" t="s">
        <v>99</v>
      </c>
      <c r="E21" s="71">
        <v>9.36</v>
      </c>
      <c r="F21" s="86"/>
      <c r="G21" s="53"/>
      <c r="H21" s="53"/>
      <c r="I21" s="53"/>
      <c r="J21" s="53"/>
      <c r="K21" s="52"/>
      <c r="L21" s="622"/>
    </row>
    <row r="22" spans="2:12" ht="15.75" x14ac:dyDescent="0.25">
      <c r="B22" s="620"/>
      <c r="C22" s="85"/>
      <c r="D22" s="581" t="s">
        <v>100</v>
      </c>
      <c r="E22" s="71">
        <v>7.98</v>
      </c>
      <c r="F22" s="86"/>
      <c r="G22" s="53"/>
      <c r="H22" s="53"/>
      <c r="I22" s="53"/>
      <c r="J22" s="53"/>
      <c r="K22" s="52"/>
      <c r="L22" s="622"/>
    </row>
    <row r="23" spans="2:12" ht="15.75" x14ac:dyDescent="0.25">
      <c r="B23" s="620"/>
      <c r="C23" s="85"/>
      <c r="D23" s="581" t="s">
        <v>101</v>
      </c>
      <c r="E23" s="71">
        <v>2.5</v>
      </c>
      <c r="F23" s="86"/>
      <c r="G23" s="53"/>
      <c r="H23" s="53"/>
      <c r="I23" s="53"/>
      <c r="J23" s="53"/>
      <c r="K23" s="52"/>
      <c r="L23" s="622"/>
    </row>
    <row r="24" spans="2:12" ht="15.75" x14ac:dyDescent="0.25">
      <c r="B24" s="620"/>
      <c r="C24" s="85"/>
      <c r="D24" s="581" t="s">
        <v>102</v>
      </c>
      <c r="E24" s="71">
        <v>9.1300000000000008</v>
      </c>
      <c r="F24" s="86"/>
      <c r="G24" s="53"/>
      <c r="H24" s="53"/>
      <c r="I24" s="53"/>
      <c r="J24" s="53"/>
      <c r="K24" s="52"/>
      <c r="L24" s="622"/>
    </row>
    <row r="25" spans="2:12" ht="15.75" x14ac:dyDescent="0.25">
      <c r="B25" s="620"/>
      <c r="C25" s="85"/>
      <c r="D25" s="581" t="s">
        <v>103</v>
      </c>
      <c r="E25" s="71">
        <v>13.75</v>
      </c>
      <c r="F25" s="86"/>
      <c r="G25" s="53"/>
      <c r="H25" s="53"/>
      <c r="I25" s="53"/>
      <c r="J25" s="53"/>
      <c r="K25" s="52"/>
      <c r="L25" s="622"/>
    </row>
    <row r="26" spans="2:12" ht="15.75" x14ac:dyDescent="0.25">
      <c r="B26" s="620"/>
      <c r="C26" s="85"/>
      <c r="D26" s="581" t="s">
        <v>104</v>
      </c>
      <c r="E26" s="71">
        <v>6.68</v>
      </c>
      <c r="F26" s="86"/>
      <c r="G26" s="53"/>
      <c r="H26" s="53"/>
      <c r="I26" s="53"/>
      <c r="J26" s="53"/>
      <c r="K26" s="52"/>
      <c r="L26" s="622"/>
    </row>
    <row r="27" spans="2:12" ht="15.75" x14ac:dyDescent="0.25">
      <c r="B27" s="620"/>
      <c r="C27" s="85"/>
      <c r="D27" s="70" t="s">
        <v>105</v>
      </c>
      <c r="E27" s="71">
        <v>56.1</v>
      </c>
      <c r="F27" s="86"/>
      <c r="G27" s="53"/>
      <c r="H27" s="53"/>
      <c r="I27" s="53"/>
      <c r="J27" s="53"/>
      <c r="K27" s="52"/>
      <c r="L27" s="622"/>
    </row>
    <row r="28" spans="2:12" ht="15.75" x14ac:dyDescent="0.25">
      <c r="B28" s="620"/>
      <c r="C28" s="85"/>
      <c r="D28" s="578" t="s">
        <v>217</v>
      </c>
      <c r="E28" s="578">
        <f>SUM(E6:E27)</f>
        <v>591.38000000000022</v>
      </c>
      <c r="F28" s="86"/>
      <c r="G28" s="53"/>
      <c r="H28" s="53"/>
      <c r="I28" s="53"/>
      <c r="J28" s="53"/>
      <c r="K28" s="52"/>
      <c r="L28" s="622"/>
    </row>
    <row r="29" spans="2:12" ht="15.75" x14ac:dyDescent="0.25">
      <c r="B29" s="623"/>
      <c r="C29" s="57"/>
      <c r="D29" s="87"/>
      <c r="E29" s="87"/>
      <c r="F29" s="58"/>
      <c r="G29" s="58"/>
      <c r="H29" s="58"/>
      <c r="I29" s="58"/>
      <c r="J29" s="58"/>
      <c r="K29" s="59"/>
      <c r="L29" s="624"/>
    </row>
    <row r="30" spans="2:12" ht="15.75" x14ac:dyDescent="0.25">
      <c r="B30" s="625"/>
      <c r="C30" s="64" t="s">
        <v>185</v>
      </c>
      <c r="D30" s="952" t="s">
        <v>186</v>
      </c>
      <c r="E30" s="1110"/>
      <c r="F30" s="1110"/>
      <c r="G30" s="1110"/>
      <c r="H30" s="1110"/>
      <c r="I30" s="1110"/>
      <c r="J30" s="1111"/>
      <c r="K30" s="42" t="s">
        <v>7</v>
      </c>
      <c r="L30" s="626">
        <f>K33</f>
        <v>2</v>
      </c>
    </row>
    <row r="31" spans="2:12" ht="15.75" x14ac:dyDescent="0.25">
      <c r="B31" s="618"/>
      <c r="C31" s="22"/>
      <c r="D31" s="65"/>
      <c r="E31" s="65"/>
      <c r="F31" s="60"/>
      <c r="G31" s="60"/>
      <c r="H31" s="60"/>
      <c r="I31" s="60"/>
      <c r="J31" s="60"/>
      <c r="K31" s="80"/>
      <c r="L31" s="619"/>
    </row>
    <row r="32" spans="2:12" ht="15.75" x14ac:dyDescent="0.25">
      <c r="B32" s="620"/>
      <c r="C32" s="29"/>
      <c r="D32" s="578" t="s">
        <v>106</v>
      </c>
      <c r="E32" s="578" t="s">
        <v>78</v>
      </c>
      <c r="F32" s="89"/>
      <c r="G32" s="51"/>
      <c r="H32" s="51"/>
      <c r="I32" s="51"/>
      <c r="J32" s="90"/>
      <c r="K32" s="583" t="s">
        <v>245</v>
      </c>
      <c r="L32" s="621"/>
    </row>
    <row r="33" spans="2:12" ht="15.75" x14ac:dyDescent="0.25">
      <c r="B33" s="620"/>
      <c r="C33" s="29"/>
      <c r="D33" s="77" t="s">
        <v>85</v>
      </c>
      <c r="E33" s="76">
        <v>1</v>
      </c>
      <c r="F33" s="89"/>
      <c r="G33" s="51"/>
      <c r="H33" s="51"/>
      <c r="I33" s="51"/>
      <c r="J33" s="90"/>
      <c r="K33" s="81">
        <f>E34*2</f>
        <v>2</v>
      </c>
      <c r="L33" s="621"/>
    </row>
    <row r="34" spans="2:12" ht="15.75" x14ac:dyDescent="0.25">
      <c r="B34" s="620"/>
      <c r="C34" s="29"/>
      <c r="D34" s="585" t="s">
        <v>217</v>
      </c>
      <c r="E34" s="577">
        <f>E33</f>
        <v>1</v>
      </c>
      <c r="F34" s="89"/>
      <c r="G34" s="51"/>
      <c r="H34" s="51"/>
      <c r="I34" s="51"/>
      <c r="J34" s="51"/>
      <c r="K34" s="49"/>
      <c r="L34" s="622"/>
    </row>
    <row r="35" spans="2:12" ht="15.75" x14ac:dyDescent="0.25">
      <c r="B35" s="623"/>
      <c r="C35" s="23"/>
      <c r="D35" s="65"/>
      <c r="E35" s="65"/>
      <c r="F35" s="61"/>
      <c r="G35" s="61"/>
      <c r="H35" s="61"/>
      <c r="I35" s="61"/>
      <c r="J35" s="61"/>
      <c r="K35" s="59"/>
      <c r="L35" s="624"/>
    </row>
    <row r="36" spans="2:12" ht="15.75" x14ac:dyDescent="0.25">
      <c r="B36" s="625"/>
      <c r="C36" s="64" t="s">
        <v>188</v>
      </c>
      <c r="D36" s="952" t="s">
        <v>187</v>
      </c>
      <c r="E36" s="1110"/>
      <c r="F36" s="1110"/>
      <c r="G36" s="1110"/>
      <c r="H36" s="1110"/>
      <c r="I36" s="1110"/>
      <c r="J36" s="1111"/>
      <c r="K36" s="42" t="s">
        <v>7</v>
      </c>
      <c r="L36" s="626">
        <f>K39</f>
        <v>2</v>
      </c>
    </row>
    <row r="37" spans="2:12" ht="15.75" x14ac:dyDescent="0.25">
      <c r="B37" s="618"/>
      <c r="C37" s="22"/>
      <c r="D37" s="65"/>
      <c r="E37" s="65"/>
      <c r="F37" s="60"/>
      <c r="G37" s="60"/>
      <c r="H37" s="60"/>
      <c r="I37" s="60"/>
      <c r="J37" s="60"/>
      <c r="K37" s="80"/>
      <c r="L37" s="619"/>
    </row>
    <row r="38" spans="2:12" ht="15.75" x14ac:dyDescent="0.25">
      <c r="B38" s="620"/>
      <c r="C38" s="29"/>
      <c r="D38" s="578" t="s">
        <v>106</v>
      </c>
      <c r="E38" s="578" t="s">
        <v>78</v>
      </c>
      <c r="F38" s="89"/>
      <c r="G38" s="51"/>
      <c r="H38" s="51"/>
      <c r="I38" s="51"/>
      <c r="J38" s="90"/>
      <c r="K38" s="583" t="s">
        <v>245</v>
      </c>
      <c r="L38" s="621"/>
    </row>
    <row r="39" spans="2:12" ht="15.75" x14ac:dyDescent="0.25">
      <c r="B39" s="620"/>
      <c r="C39" s="29"/>
      <c r="D39" s="77" t="s">
        <v>85</v>
      </c>
      <c r="E39" s="76">
        <v>1</v>
      </c>
      <c r="F39" s="89"/>
      <c r="G39" s="51"/>
      <c r="H39" s="51"/>
      <c r="I39" s="51"/>
      <c r="J39" s="90"/>
      <c r="K39" s="81">
        <f>E40*2</f>
        <v>2</v>
      </c>
      <c r="L39" s="621"/>
    </row>
    <row r="40" spans="2:12" ht="15.75" x14ac:dyDescent="0.25">
      <c r="B40" s="620"/>
      <c r="C40" s="29"/>
      <c r="D40" s="585" t="s">
        <v>217</v>
      </c>
      <c r="E40" s="577">
        <f>SUM(E39:E39)</f>
        <v>1</v>
      </c>
      <c r="F40" s="89"/>
      <c r="G40" s="51"/>
      <c r="H40" s="51"/>
      <c r="I40" s="51"/>
      <c r="J40" s="51"/>
      <c r="K40" s="49"/>
      <c r="L40" s="622"/>
    </row>
    <row r="41" spans="2:12" ht="15.75" x14ac:dyDescent="0.25">
      <c r="B41" s="623"/>
      <c r="C41" s="23"/>
      <c r="D41" s="65"/>
      <c r="E41" s="65"/>
      <c r="F41" s="61"/>
      <c r="G41" s="61"/>
      <c r="H41" s="61"/>
      <c r="I41" s="61"/>
      <c r="J41" s="61"/>
      <c r="K41" s="59"/>
      <c r="L41" s="624"/>
    </row>
    <row r="42" spans="2:12" ht="15.75" x14ac:dyDescent="0.25">
      <c r="B42" s="625"/>
      <c r="C42" s="574" t="s">
        <v>68</v>
      </c>
      <c r="D42" s="952" t="s">
        <v>69</v>
      </c>
      <c r="E42" s="1110"/>
      <c r="F42" s="1110"/>
      <c r="G42" s="1110"/>
      <c r="H42" s="1110"/>
      <c r="I42" s="1110"/>
      <c r="J42" s="1111"/>
      <c r="K42" s="8" t="s">
        <v>7</v>
      </c>
      <c r="L42" s="172">
        <f>K45</f>
        <v>62</v>
      </c>
    </row>
    <row r="43" spans="2:12" ht="15.75" x14ac:dyDescent="0.25">
      <c r="B43" s="627"/>
      <c r="C43" s="66"/>
      <c r="D43" s="65"/>
      <c r="E43" s="65"/>
      <c r="F43" s="65"/>
      <c r="G43" s="65"/>
      <c r="H43" s="65"/>
      <c r="I43" s="65"/>
      <c r="J43" s="65"/>
      <c r="K43" s="35"/>
      <c r="L43" s="246"/>
    </row>
    <row r="44" spans="2:12" ht="15.75" x14ac:dyDescent="0.25">
      <c r="B44" s="620"/>
      <c r="C44" s="91"/>
      <c r="D44" s="578" t="s">
        <v>106</v>
      </c>
      <c r="E44" s="578" t="s">
        <v>78</v>
      </c>
      <c r="F44" s="89"/>
      <c r="G44" s="51"/>
      <c r="H44" s="51"/>
      <c r="I44" s="51"/>
      <c r="J44" s="90"/>
      <c r="K44" s="583" t="s">
        <v>245</v>
      </c>
      <c r="L44" s="628"/>
    </row>
    <row r="45" spans="2:12" ht="15.75" x14ac:dyDescent="0.25">
      <c r="B45" s="620"/>
      <c r="C45" s="91"/>
      <c r="D45" s="77" t="s">
        <v>227</v>
      </c>
      <c r="E45" s="76">
        <v>30</v>
      </c>
      <c r="F45" s="89"/>
      <c r="G45" s="51"/>
      <c r="H45" s="51"/>
      <c r="I45" s="51"/>
      <c r="J45" s="90"/>
      <c r="K45" s="82">
        <f>E47*2</f>
        <v>62</v>
      </c>
      <c r="L45" s="628"/>
    </row>
    <row r="46" spans="2:12" ht="15.75" x14ac:dyDescent="0.25">
      <c r="B46" s="620"/>
      <c r="C46" s="91"/>
      <c r="D46" s="77" t="s">
        <v>96</v>
      </c>
      <c r="E46" s="76">
        <v>1</v>
      </c>
      <c r="F46" s="89"/>
      <c r="G46" s="51"/>
      <c r="H46" s="51"/>
      <c r="I46" s="51"/>
      <c r="J46" s="51"/>
      <c r="K46" s="12"/>
      <c r="L46" s="629"/>
    </row>
    <row r="47" spans="2:12" ht="15.75" x14ac:dyDescent="0.25">
      <c r="B47" s="620"/>
      <c r="C47" s="91"/>
      <c r="D47" s="585" t="s">
        <v>217</v>
      </c>
      <c r="E47" s="577">
        <f>E45+E46</f>
        <v>31</v>
      </c>
      <c r="F47" s="89"/>
      <c r="G47" s="51"/>
      <c r="H47" s="51"/>
      <c r="I47" s="51"/>
      <c r="J47" s="51"/>
      <c r="K47" s="10"/>
      <c r="L47" s="629"/>
    </row>
    <row r="48" spans="2:12" ht="15.75" x14ac:dyDescent="0.25">
      <c r="B48" s="623"/>
      <c r="C48" s="62"/>
      <c r="D48" s="65"/>
      <c r="E48" s="65"/>
      <c r="F48" s="61"/>
      <c r="G48" s="61"/>
      <c r="H48" s="61"/>
      <c r="I48" s="61"/>
      <c r="J48" s="61"/>
      <c r="K48" s="13"/>
      <c r="L48" s="630"/>
    </row>
    <row r="49" spans="2:12" ht="15.75" x14ac:dyDescent="0.25">
      <c r="B49" s="625"/>
      <c r="C49" s="571" t="s">
        <v>70</v>
      </c>
      <c r="D49" s="951" t="s">
        <v>71</v>
      </c>
      <c r="E49" s="951"/>
      <c r="F49" s="951"/>
      <c r="G49" s="951"/>
      <c r="H49" s="951"/>
      <c r="I49" s="951"/>
      <c r="J49" s="951"/>
      <c r="K49" s="8" t="s">
        <v>8</v>
      </c>
      <c r="L49" s="172">
        <f>G52*2</f>
        <v>1293</v>
      </c>
    </row>
    <row r="50" spans="2:12" ht="15.75" x14ac:dyDescent="0.25">
      <c r="B50" s="618"/>
      <c r="C50" s="63"/>
      <c r="D50" s="65"/>
      <c r="E50" s="65"/>
      <c r="F50" s="60"/>
      <c r="G50" s="60"/>
      <c r="H50" s="60"/>
      <c r="I50" s="60"/>
      <c r="J50" s="60"/>
      <c r="K50" s="35"/>
      <c r="L50" s="631"/>
    </row>
    <row r="51" spans="2:12" ht="15.75" x14ac:dyDescent="0.25">
      <c r="B51" s="620"/>
      <c r="C51" s="91"/>
      <c r="D51" s="585" t="s">
        <v>233</v>
      </c>
      <c r="E51" s="585" t="s">
        <v>78</v>
      </c>
      <c r="F51" s="89"/>
      <c r="G51" s="61"/>
      <c r="H51" s="51"/>
      <c r="I51" s="51"/>
      <c r="J51" s="90"/>
      <c r="K51" s="583" t="s">
        <v>245</v>
      </c>
      <c r="L51" s="628"/>
    </row>
    <row r="52" spans="2:12" ht="15.75" x14ac:dyDescent="0.25">
      <c r="B52" s="620"/>
      <c r="C52" s="91"/>
      <c r="D52" s="77" t="s">
        <v>234</v>
      </c>
      <c r="E52" s="77">
        <f>177.87+44.26</f>
        <v>222.13</v>
      </c>
      <c r="F52" s="92"/>
      <c r="G52" s="577">
        <f>E52+E53+E54</f>
        <v>646.5</v>
      </c>
      <c r="H52" s="89"/>
      <c r="I52" s="51"/>
      <c r="J52" s="90"/>
      <c r="K52" s="81">
        <f>G52*2</f>
        <v>1293</v>
      </c>
      <c r="L52" s="628"/>
    </row>
    <row r="53" spans="2:12" ht="15.75" x14ac:dyDescent="0.25">
      <c r="B53" s="620"/>
      <c r="C53" s="91"/>
      <c r="D53" s="77" t="s">
        <v>235</v>
      </c>
      <c r="E53" s="77">
        <f>176.24+44.26</f>
        <v>220.5</v>
      </c>
      <c r="F53" s="89"/>
      <c r="G53" s="60"/>
      <c r="H53" s="51"/>
      <c r="I53" s="51"/>
      <c r="J53" s="51"/>
      <c r="K53" s="12"/>
      <c r="L53" s="629"/>
    </row>
    <row r="54" spans="2:12" ht="15.75" x14ac:dyDescent="0.25">
      <c r="B54" s="620"/>
      <c r="C54" s="91"/>
      <c r="D54" s="77" t="s">
        <v>236</v>
      </c>
      <c r="E54" s="77">
        <f>159.61+44.26</f>
        <v>203.87</v>
      </c>
      <c r="F54" s="89"/>
      <c r="G54" s="51"/>
      <c r="H54" s="51"/>
      <c r="I54" s="51"/>
      <c r="J54" s="51"/>
      <c r="K54" s="10"/>
      <c r="L54" s="629"/>
    </row>
    <row r="55" spans="2:12" ht="15.75" x14ac:dyDescent="0.25">
      <c r="B55" s="623"/>
      <c r="C55" s="62"/>
      <c r="D55" s="65"/>
      <c r="E55" s="65"/>
      <c r="F55" s="61"/>
      <c r="G55" s="61"/>
      <c r="H55" s="61"/>
      <c r="I55" s="61"/>
      <c r="J55" s="61"/>
      <c r="K55" s="13"/>
      <c r="L55" s="630"/>
    </row>
    <row r="56" spans="2:12" ht="15.75" x14ac:dyDescent="0.25">
      <c r="B56" s="625"/>
      <c r="C56" s="571" t="s">
        <v>49</v>
      </c>
      <c r="D56" s="951" t="s">
        <v>231</v>
      </c>
      <c r="E56" s="951"/>
      <c r="F56" s="951"/>
      <c r="G56" s="951"/>
      <c r="H56" s="951"/>
      <c r="I56" s="951"/>
      <c r="J56" s="951"/>
      <c r="K56" s="8" t="s">
        <v>7</v>
      </c>
      <c r="L56" s="172">
        <f>K59</f>
        <v>22</v>
      </c>
    </row>
    <row r="57" spans="2:12" ht="15.75" x14ac:dyDescent="0.25">
      <c r="B57" s="618"/>
      <c r="C57" s="63"/>
      <c r="D57" s="65"/>
      <c r="E57" s="65"/>
      <c r="F57" s="60"/>
      <c r="G57" s="60"/>
      <c r="H57" s="60"/>
      <c r="I57" s="60"/>
      <c r="J57" s="60"/>
      <c r="K57" s="35"/>
      <c r="L57" s="631"/>
    </row>
    <row r="58" spans="2:12" ht="15.75" x14ac:dyDescent="0.25">
      <c r="B58" s="620"/>
      <c r="C58" s="91"/>
      <c r="D58" s="77" t="s">
        <v>106</v>
      </c>
      <c r="E58" s="77" t="s">
        <v>155</v>
      </c>
      <c r="F58" s="89"/>
      <c r="G58" s="51"/>
      <c r="H58" s="51"/>
      <c r="I58" s="51"/>
      <c r="J58" s="90"/>
      <c r="K58" s="583" t="s">
        <v>245</v>
      </c>
      <c r="L58" s="628"/>
    </row>
    <row r="59" spans="2:12" ht="15.75" x14ac:dyDescent="0.25">
      <c r="B59" s="620"/>
      <c r="C59" s="91"/>
      <c r="D59" s="77" t="s">
        <v>232</v>
      </c>
      <c r="E59" s="76">
        <v>10</v>
      </c>
      <c r="F59" s="89"/>
      <c r="G59" s="51"/>
      <c r="H59" s="51"/>
      <c r="I59" s="51"/>
      <c r="J59" s="90"/>
      <c r="K59" s="81">
        <f>E61*2</f>
        <v>22</v>
      </c>
      <c r="L59" s="628"/>
    </row>
    <row r="60" spans="2:12" ht="15.75" x14ac:dyDescent="0.25">
      <c r="B60" s="620"/>
      <c r="C60" s="91"/>
      <c r="D60" s="77" t="s">
        <v>96</v>
      </c>
      <c r="E60" s="76">
        <v>1</v>
      </c>
      <c r="F60" s="89"/>
      <c r="G60" s="51"/>
      <c r="H60" s="51"/>
      <c r="I60" s="51"/>
      <c r="J60" s="51"/>
      <c r="K60" s="12"/>
      <c r="L60" s="629"/>
    </row>
    <row r="61" spans="2:12" ht="15.75" x14ac:dyDescent="0.25">
      <c r="B61" s="620"/>
      <c r="C61" s="91"/>
      <c r="D61" s="585" t="s">
        <v>217</v>
      </c>
      <c r="E61" s="577">
        <f>E59+E60</f>
        <v>11</v>
      </c>
      <c r="F61" s="89"/>
      <c r="G61" s="51"/>
      <c r="H61" s="51"/>
      <c r="I61" s="51"/>
      <c r="J61" s="51"/>
      <c r="K61" s="10"/>
      <c r="L61" s="629"/>
    </row>
    <row r="62" spans="2:12" ht="15.75" x14ac:dyDescent="0.25">
      <c r="B62" s="623"/>
      <c r="C62" s="62"/>
      <c r="D62" s="65"/>
      <c r="E62" s="65"/>
      <c r="F62" s="61"/>
      <c r="G62" s="61"/>
      <c r="H62" s="61"/>
      <c r="I62" s="61"/>
      <c r="J62" s="61"/>
      <c r="K62" s="13"/>
      <c r="L62" s="630"/>
    </row>
    <row r="63" spans="2:12" ht="15.75" x14ac:dyDescent="0.25">
      <c r="B63" s="159"/>
      <c r="C63" s="8" t="s">
        <v>229</v>
      </c>
      <c r="D63" s="951" t="s">
        <v>230</v>
      </c>
      <c r="E63" s="951"/>
      <c r="F63" s="951"/>
      <c r="G63" s="951"/>
      <c r="H63" s="951"/>
      <c r="I63" s="951"/>
      <c r="J63" s="951"/>
      <c r="K63" s="8" t="s">
        <v>7</v>
      </c>
      <c r="L63" s="172">
        <f>K65</f>
        <v>66</v>
      </c>
    </row>
    <row r="64" spans="2:12" x14ac:dyDescent="0.25">
      <c r="B64" s="189"/>
      <c r="C64" s="25"/>
      <c r="D64" s="39"/>
      <c r="E64" s="39"/>
      <c r="F64" s="34"/>
      <c r="G64" s="39"/>
      <c r="H64" s="25"/>
      <c r="I64" s="25"/>
      <c r="J64" s="39"/>
      <c r="K64" s="39"/>
      <c r="L64" s="542"/>
    </row>
    <row r="65" spans="2:12" x14ac:dyDescent="0.25">
      <c r="B65" s="179"/>
      <c r="C65" s="37"/>
      <c r="D65" s="1106" t="s">
        <v>228</v>
      </c>
      <c r="E65" s="1106"/>
      <c r="F65" s="217"/>
      <c r="G65" s="68">
        <v>33</v>
      </c>
      <c r="H65" s="36"/>
      <c r="I65" s="37"/>
      <c r="J65" s="578" t="s">
        <v>245</v>
      </c>
      <c r="K65" s="68">
        <f>G65*2</f>
        <v>66</v>
      </c>
      <c r="L65" s="543"/>
    </row>
    <row r="66" spans="2:12" x14ac:dyDescent="0.25">
      <c r="B66" s="299"/>
      <c r="C66" s="47"/>
      <c r="D66" s="79"/>
      <c r="E66" s="79"/>
      <c r="F66" s="218"/>
      <c r="G66" s="219"/>
      <c r="H66" s="47"/>
      <c r="I66" s="47"/>
      <c r="J66" s="43"/>
      <c r="K66" s="43"/>
      <c r="L66" s="632"/>
    </row>
    <row r="67" spans="2:12" ht="15.75" x14ac:dyDescent="0.25">
      <c r="B67" s="159"/>
      <c r="C67" s="586" t="s">
        <v>434</v>
      </c>
      <c r="D67" s="951" t="s">
        <v>435</v>
      </c>
      <c r="E67" s="951"/>
      <c r="F67" s="951"/>
      <c r="G67" s="951"/>
      <c r="H67" s="951"/>
      <c r="I67" s="951"/>
      <c r="J67" s="951"/>
      <c r="K67" s="40" t="s">
        <v>7</v>
      </c>
      <c r="L67" s="168">
        <f>G69</f>
        <v>62</v>
      </c>
    </row>
    <row r="68" spans="2:12" x14ac:dyDescent="0.25">
      <c r="B68" s="189"/>
      <c r="C68" s="25"/>
      <c r="D68" s="39"/>
      <c r="E68" s="39"/>
      <c r="F68" s="34"/>
      <c r="G68" s="39"/>
      <c r="H68" s="25"/>
      <c r="I68" s="25"/>
      <c r="J68" s="25"/>
      <c r="K68" s="202"/>
      <c r="L68" s="542"/>
    </row>
    <row r="69" spans="2:12" x14ac:dyDescent="0.25">
      <c r="B69" s="179"/>
      <c r="C69" s="37"/>
      <c r="D69" s="579" t="s">
        <v>600</v>
      </c>
      <c r="E69" s="108">
        <v>31</v>
      </c>
      <c r="F69" s="217"/>
      <c r="G69" s="68">
        <f>E69*2</f>
        <v>62</v>
      </c>
      <c r="H69" s="36"/>
      <c r="K69" s="198"/>
      <c r="L69" s="544"/>
    </row>
    <row r="70" spans="2:12" x14ac:dyDescent="0.25">
      <c r="B70" s="299"/>
      <c r="C70" s="47"/>
      <c r="D70" s="39"/>
      <c r="E70" s="39"/>
      <c r="F70" s="54"/>
      <c r="G70" s="39"/>
      <c r="H70" s="47"/>
      <c r="I70" s="47"/>
      <c r="J70" s="47"/>
      <c r="K70" s="200"/>
      <c r="L70" s="632"/>
    </row>
    <row r="71" spans="2:12" ht="15.75" x14ac:dyDescent="0.25">
      <c r="B71" s="159"/>
      <c r="C71" s="586" t="s">
        <v>436</v>
      </c>
      <c r="D71" s="951" t="s">
        <v>437</v>
      </c>
      <c r="E71" s="951"/>
      <c r="F71" s="951"/>
      <c r="G71" s="951"/>
      <c r="H71" s="951"/>
      <c r="I71" s="951"/>
      <c r="J71" s="951"/>
      <c r="K71" s="40" t="s">
        <v>7</v>
      </c>
      <c r="L71" s="168">
        <f>G73</f>
        <v>22</v>
      </c>
    </row>
    <row r="72" spans="2:12" x14ac:dyDescent="0.25">
      <c r="B72" s="189"/>
      <c r="C72" s="25"/>
      <c r="D72" s="39"/>
      <c r="E72" s="39"/>
      <c r="F72" s="34"/>
      <c r="G72" s="39"/>
      <c r="H72" s="25"/>
      <c r="I72" s="25"/>
      <c r="J72" s="25"/>
      <c r="K72" s="25"/>
      <c r="L72" s="542"/>
    </row>
    <row r="73" spans="2:12" x14ac:dyDescent="0.25">
      <c r="B73" s="179"/>
      <c r="C73" s="37"/>
      <c r="D73" s="579" t="s">
        <v>601</v>
      </c>
      <c r="E73" s="108">
        <v>11</v>
      </c>
      <c r="F73" s="217"/>
      <c r="G73" s="108">
        <f>E73*2</f>
        <v>22</v>
      </c>
      <c r="H73" s="36"/>
      <c r="L73" s="544"/>
    </row>
    <row r="74" spans="2:12" x14ac:dyDescent="0.25">
      <c r="B74" s="299"/>
      <c r="C74" s="47"/>
      <c r="D74" s="39"/>
      <c r="E74" s="39"/>
      <c r="F74" s="54"/>
      <c r="G74" s="39"/>
      <c r="H74" s="47"/>
      <c r="I74" s="47"/>
      <c r="J74" s="47"/>
      <c r="K74" s="47"/>
      <c r="L74" s="632"/>
    </row>
    <row r="75" spans="2:12" ht="15.75" x14ac:dyDescent="0.25">
      <c r="B75" s="625"/>
      <c r="C75" s="9" t="s">
        <v>189</v>
      </c>
      <c r="D75" s="951" t="s">
        <v>190</v>
      </c>
      <c r="E75" s="951"/>
      <c r="F75" s="951"/>
      <c r="G75" s="951"/>
      <c r="H75" s="951"/>
      <c r="I75" s="951"/>
      <c r="J75" s="951"/>
      <c r="K75" s="42" t="s">
        <v>8</v>
      </c>
      <c r="L75" s="626">
        <f>K78</f>
        <v>102.75999999999999</v>
      </c>
    </row>
    <row r="76" spans="2:12" ht="15.75" x14ac:dyDescent="0.25">
      <c r="B76" s="618"/>
      <c r="C76" s="22"/>
      <c r="D76" s="19"/>
      <c r="E76" s="19"/>
      <c r="F76" s="15"/>
      <c r="G76" s="15"/>
      <c r="H76" s="15"/>
      <c r="I76" s="15"/>
      <c r="J76" s="15"/>
      <c r="K76" s="80"/>
      <c r="L76" s="619"/>
    </row>
    <row r="77" spans="2:12" ht="15.75" x14ac:dyDescent="0.25">
      <c r="B77" s="620"/>
      <c r="C77" s="29"/>
      <c r="D77" s="75" t="s">
        <v>286</v>
      </c>
      <c r="E77" s="77" t="s">
        <v>77</v>
      </c>
      <c r="F77" s="17"/>
      <c r="G77" s="32"/>
      <c r="H77" s="14"/>
      <c r="I77" s="14"/>
      <c r="J77" s="20"/>
      <c r="K77" s="583" t="s">
        <v>245</v>
      </c>
      <c r="L77" s="621"/>
    </row>
    <row r="78" spans="2:12" ht="15.75" x14ac:dyDescent="0.25">
      <c r="B78" s="620"/>
      <c r="C78" s="29"/>
      <c r="D78" s="77">
        <v>39.32</v>
      </c>
      <c r="E78" s="1114">
        <f>D78+D79</f>
        <v>40.119999999999997</v>
      </c>
      <c r="F78" s="17"/>
      <c r="G78" s="30"/>
      <c r="H78" s="14"/>
      <c r="I78" s="14"/>
      <c r="J78" s="20"/>
      <c r="K78" s="81">
        <f>(E78+E82)*2</f>
        <v>102.75999999999999</v>
      </c>
      <c r="L78" s="621"/>
    </row>
    <row r="79" spans="2:12" ht="15.75" x14ac:dyDescent="0.25">
      <c r="B79" s="620"/>
      <c r="C79" s="29"/>
      <c r="D79" s="77">
        <v>0.8</v>
      </c>
      <c r="E79" s="1115"/>
      <c r="F79" s="17"/>
      <c r="G79" s="30"/>
      <c r="H79" s="14"/>
      <c r="I79" s="14"/>
      <c r="J79" s="14"/>
      <c r="K79" s="49"/>
      <c r="L79" s="622"/>
    </row>
    <row r="80" spans="2:12" ht="15.75" x14ac:dyDescent="0.25">
      <c r="B80" s="620"/>
      <c r="C80" s="21"/>
      <c r="D80" s="119"/>
      <c r="E80" s="31"/>
      <c r="F80" s="14"/>
      <c r="G80" s="32"/>
      <c r="H80" s="14"/>
      <c r="I80" s="14"/>
      <c r="J80" s="14"/>
      <c r="K80" s="52"/>
      <c r="L80" s="622"/>
    </row>
    <row r="81" spans="2:13" ht="15.75" x14ac:dyDescent="0.25">
      <c r="B81" s="620"/>
      <c r="C81" s="29"/>
      <c r="D81" s="77" t="s">
        <v>287</v>
      </c>
      <c r="E81" s="585" t="s">
        <v>217</v>
      </c>
      <c r="F81" s="17"/>
      <c r="G81" s="32"/>
      <c r="H81" s="14"/>
      <c r="I81" s="14"/>
      <c r="J81" s="14"/>
      <c r="K81" s="52"/>
      <c r="L81" s="622"/>
    </row>
    <row r="82" spans="2:13" ht="15.75" x14ac:dyDescent="0.25">
      <c r="B82" s="620"/>
      <c r="C82" s="29"/>
      <c r="D82" s="77">
        <f>3.69+0.73+6.84</f>
        <v>11.26</v>
      </c>
      <c r="E82" s="585">
        <f>D82</f>
        <v>11.26</v>
      </c>
      <c r="F82" s="17"/>
      <c r="G82" s="32"/>
      <c r="H82" s="14"/>
      <c r="I82" s="14"/>
      <c r="J82" s="14"/>
      <c r="K82" s="52"/>
      <c r="L82" s="622"/>
    </row>
    <row r="83" spans="2:13" ht="15.75" x14ac:dyDescent="0.25">
      <c r="B83" s="623"/>
      <c r="C83" s="23"/>
      <c r="D83" s="119"/>
      <c r="E83" s="31"/>
      <c r="F83" s="16"/>
      <c r="G83" s="33"/>
      <c r="H83" s="16"/>
      <c r="I83" s="16"/>
      <c r="J83" s="16"/>
      <c r="K83" s="59"/>
      <c r="L83" s="624"/>
    </row>
    <row r="84" spans="2:13" ht="15.75" x14ac:dyDescent="0.25">
      <c r="B84" s="625"/>
      <c r="C84" s="100" t="s">
        <v>191</v>
      </c>
      <c r="D84" s="951" t="s">
        <v>192</v>
      </c>
      <c r="E84" s="951"/>
      <c r="F84" s="951"/>
      <c r="G84" s="951"/>
      <c r="H84" s="951"/>
      <c r="I84" s="951"/>
      <c r="J84" s="951"/>
      <c r="K84" s="99" t="s">
        <v>8</v>
      </c>
      <c r="L84" s="259">
        <f>K87</f>
        <v>46.839999999999996</v>
      </c>
    </row>
    <row r="85" spans="2:13" ht="15.75" x14ac:dyDescent="0.25">
      <c r="B85" s="618"/>
      <c r="C85" s="22"/>
      <c r="D85" s="119"/>
      <c r="E85" s="31"/>
      <c r="F85" s="15"/>
      <c r="G85" s="18"/>
      <c r="H85" s="15"/>
      <c r="I85" s="15"/>
      <c r="J85" s="15"/>
      <c r="K85" s="80"/>
      <c r="L85" s="619"/>
    </row>
    <row r="86" spans="2:13" ht="15.75" x14ac:dyDescent="0.25">
      <c r="B86" s="620"/>
      <c r="C86" s="29"/>
      <c r="D86" s="77" t="s">
        <v>288</v>
      </c>
      <c r="E86" s="585" t="s">
        <v>77</v>
      </c>
      <c r="F86" s="17"/>
      <c r="G86" s="32"/>
      <c r="H86" s="14"/>
      <c r="I86" s="14"/>
      <c r="J86" s="20"/>
      <c r="K86" s="583" t="s">
        <v>245</v>
      </c>
      <c r="L86" s="621"/>
    </row>
    <row r="87" spans="2:13" ht="15.75" x14ac:dyDescent="0.25">
      <c r="B87" s="620"/>
      <c r="C87" s="29"/>
      <c r="D87" s="77">
        <f>19.06+0.7+2.81+0.85</f>
        <v>23.419999999999998</v>
      </c>
      <c r="E87" s="585">
        <f>D87</f>
        <v>23.419999999999998</v>
      </c>
      <c r="F87" s="17"/>
      <c r="G87" s="32"/>
      <c r="H87" s="14"/>
      <c r="I87" s="14"/>
      <c r="J87" s="20"/>
      <c r="K87" s="81">
        <f>E87*2</f>
        <v>46.839999999999996</v>
      </c>
      <c r="L87" s="621"/>
    </row>
    <row r="88" spans="2:13" ht="15.75" x14ac:dyDescent="0.25">
      <c r="B88" s="623"/>
      <c r="C88" s="23"/>
      <c r="D88" s="19"/>
      <c r="E88" s="19"/>
      <c r="F88" s="16"/>
      <c r="G88" s="16"/>
      <c r="H88" s="16"/>
      <c r="I88" s="16"/>
      <c r="J88" s="16"/>
      <c r="K88" s="80"/>
      <c r="L88" s="624"/>
    </row>
    <row r="89" spans="2:13" ht="15.75" x14ac:dyDescent="0.25">
      <c r="B89" s="625"/>
      <c r="C89" s="571" t="s">
        <v>301</v>
      </c>
      <c r="D89" s="951" t="s">
        <v>302</v>
      </c>
      <c r="E89" s="951"/>
      <c r="F89" s="951"/>
      <c r="G89" s="951"/>
      <c r="H89" s="951"/>
      <c r="I89" s="951"/>
      <c r="J89" s="951"/>
      <c r="K89" s="8" t="s">
        <v>7</v>
      </c>
      <c r="L89" s="172">
        <f>K92</f>
        <v>22</v>
      </c>
      <c r="M89">
        <f>22*4</f>
        <v>88</v>
      </c>
    </row>
    <row r="90" spans="2:13" ht="15.75" x14ac:dyDescent="0.25">
      <c r="B90" s="618"/>
      <c r="C90" s="60"/>
      <c r="D90" s="103"/>
      <c r="E90" s="103"/>
      <c r="F90" s="22"/>
      <c r="G90" s="22"/>
      <c r="H90" s="22"/>
      <c r="I90" s="22"/>
      <c r="J90" s="22"/>
      <c r="K90" s="80"/>
      <c r="L90" s="619"/>
      <c r="M90">
        <f>M89/2</f>
        <v>44</v>
      </c>
    </row>
    <row r="91" spans="2:13" ht="15.75" x14ac:dyDescent="0.25">
      <c r="B91" s="620"/>
      <c r="C91" s="90"/>
      <c r="D91" s="77" t="s">
        <v>239</v>
      </c>
      <c r="E91" s="78">
        <v>3</v>
      </c>
      <c r="F91" s="1112">
        <f>E91+E92</f>
        <v>11</v>
      </c>
      <c r="G91" s="51"/>
      <c r="H91" s="51"/>
      <c r="I91" s="51"/>
      <c r="J91" s="90"/>
      <c r="K91" s="583" t="s">
        <v>245</v>
      </c>
      <c r="L91" s="621"/>
    </row>
    <row r="92" spans="2:13" ht="15.75" x14ac:dyDescent="0.25">
      <c r="B92" s="620"/>
      <c r="C92" s="90"/>
      <c r="D92" s="77" t="s">
        <v>240</v>
      </c>
      <c r="E92" s="78">
        <v>8</v>
      </c>
      <c r="F92" s="1113"/>
      <c r="G92" s="51"/>
      <c r="H92" s="51"/>
      <c r="I92" s="51"/>
      <c r="J92" s="90"/>
      <c r="K92" s="81">
        <f>F91*2</f>
        <v>22</v>
      </c>
      <c r="L92" s="621"/>
    </row>
    <row r="93" spans="2:13" ht="15.75" x14ac:dyDescent="0.25">
      <c r="B93" s="623"/>
      <c r="C93" s="61"/>
      <c r="D93" s="65"/>
      <c r="E93" s="65"/>
      <c r="F93" s="61"/>
      <c r="G93" s="61"/>
      <c r="H93" s="61"/>
      <c r="I93" s="61"/>
      <c r="J93" s="61"/>
      <c r="K93" s="80"/>
      <c r="L93" s="624"/>
    </row>
    <row r="94" spans="2:13" ht="15.75" x14ac:dyDescent="0.25">
      <c r="B94" s="625"/>
      <c r="C94" s="571" t="s">
        <v>246</v>
      </c>
      <c r="D94" s="951" t="s">
        <v>247</v>
      </c>
      <c r="E94" s="951"/>
      <c r="F94" s="951"/>
      <c r="G94" s="951"/>
      <c r="H94" s="951"/>
      <c r="I94" s="951"/>
      <c r="J94" s="951"/>
      <c r="K94" s="8" t="s">
        <v>8</v>
      </c>
      <c r="L94" s="626">
        <f>K97</f>
        <v>205.96</v>
      </c>
    </row>
    <row r="95" spans="2:13" ht="15.75" x14ac:dyDescent="0.25">
      <c r="B95" s="618"/>
      <c r="C95" s="60"/>
      <c r="D95" s="65"/>
      <c r="E95" s="65"/>
      <c r="F95" s="60"/>
      <c r="G95" s="60"/>
      <c r="H95" s="60"/>
      <c r="I95" s="60"/>
      <c r="J95" s="60"/>
      <c r="K95" s="80"/>
      <c r="L95" s="619"/>
    </row>
    <row r="96" spans="2:13" ht="15.75" x14ac:dyDescent="0.25">
      <c r="B96" s="620"/>
      <c r="C96" s="90"/>
      <c r="D96" s="585" t="s">
        <v>106</v>
      </c>
      <c r="E96" s="585" t="s">
        <v>8</v>
      </c>
      <c r="F96" s="89"/>
      <c r="G96" s="51"/>
      <c r="H96" s="51"/>
      <c r="I96" s="51"/>
      <c r="J96" s="90"/>
      <c r="K96" s="583" t="s">
        <v>245</v>
      </c>
      <c r="L96" s="621"/>
    </row>
    <row r="97" spans="2:12" ht="15.75" x14ac:dyDescent="0.25">
      <c r="B97" s="620"/>
      <c r="C97" s="90"/>
      <c r="D97" s="77" t="s">
        <v>294</v>
      </c>
      <c r="E97" s="577">
        <f>2.25+0.91+1.97+0.45+0.15+0.15+0.7</f>
        <v>6.580000000000001</v>
      </c>
      <c r="F97" s="89"/>
      <c r="G97" s="51"/>
      <c r="H97" s="51"/>
      <c r="I97" s="51"/>
      <c r="J97" s="90"/>
      <c r="K97" s="81">
        <f>E101*2</f>
        <v>205.96</v>
      </c>
      <c r="L97" s="621"/>
    </row>
    <row r="98" spans="2:12" ht="15.75" x14ac:dyDescent="0.25">
      <c r="B98" s="620"/>
      <c r="C98" s="90"/>
      <c r="D98" s="77" t="s">
        <v>84</v>
      </c>
      <c r="E98" s="577">
        <f>1.7+0.3</f>
        <v>2</v>
      </c>
      <c r="F98" s="89"/>
      <c r="G98" s="51"/>
      <c r="H98" s="51"/>
      <c r="I98" s="51"/>
      <c r="J98" s="51"/>
      <c r="K98" s="49"/>
      <c r="L98" s="622"/>
    </row>
    <row r="99" spans="2:12" ht="15.75" x14ac:dyDescent="0.25">
      <c r="B99" s="620"/>
      <c r="C99" s="90"/>
      <c r="D99" s="77" t="s">
        <v>105</v>
      </c>
      <c r="E99" s="577">
        <f>(2.34+(1.7*4))*10</f>
        <v>91.4</v>
      </c>
      <c r="F99" s="89"/>
      <c r="G99" s="51"/>
      <c r="H99" s="51"/>
      <c r="I99" s="51"/>
      <c r="J99" s="51"/>
      <c r="K99" s="52"/>
      <c r="L99" s="622"/>
    </row>
    <row r="100" spans="2:12" ht="15.75" x14ac:dyDescent="0.25">
      <c r="B100" s="620"/>
      <c r="C100" s="90"/>
      <c r="D100" s="77" t="s">
        <v>101</v>
      </c>
      <c r="E100" s="577">
        <f>0.6+0.7+1.7</f>
        <v>3</v>
      </c>
      <c r="F100" s="89"/>
      <c r="G100" s="51"/>
      <c r="H100" s="51"/>
      <c r="I100" s="51"/>
      <c r="J100" s="51"/>
      <c r="K100" s="52"/>
      <c r="L100" s="622"/>
    </row>
    <row r="101" spans="2:12" ht="15.75" x14ac:dyDescent="0.25">
      <c r="B101" s="620"/>
      <c r="C101" s="90"/>
      <c r="D101" s="95" t="s">
        <v>217</v>
      </c>
      <c r="E101" s="121">
        <f>SUM(E97:E100)</f>
        <v>102.98</v>
      </c>
      <c r="F101" s="89"/>
      <c r="G101" s="51"/>
      <c r="H101" s="51"/>
      <c r="I101" s="51"/>
      <c r="J101" s="51"/>
      <c r="K101" s="52"/>
      <c r="L101" s="622"/>
    </row>
    <row r="102" spans="2:12" ht="15.75" x14ac:dyDescent="0.25">
      <c r="B102" s="623"/>
      <c r="C102" s="61"/>
      <c r="D102" s="65"/>
      <c r="E102" s="65"/>
      <c r="F102" s="61"/>
      <c r="G102" s="61"/>
      <c r="H102" s="61"/>
      <c r="I102" s="61"/>
      <c r="J102" s="61"/>
      <c r="K102" s="59"/>
      <c r="L102" s="624"/>
    </row>
    <row r="103" spans="2:12" ht="15.75" x14ac:dyDescent="0.25">
      <c r="B103" s="625"/>
      <c r="C103" s="573" t="s">
        <v>428</v>
      </c>
      <c r="D103" s="951" t="s">
        <v>429</v>
      </c>
      <c r="E103" s="951"/>
      <c r="F103" s="951"/>
      <c r="G103" s="951"/>
      <c r="H103" s="951"/>
      <c r="I103" s="951"/>
      <c r="J103" s="951"/>
      <c r="K103" s="42" t="s">
        <v>8</v>
      </c>
      <c r="L103" s="626">
        <f>J105</f>
        <v>3000</v>
      </c>
    </row>
    <row r="104" spans="2:12" ht="15.75" x14ac:dyDescent="0.25">
      <c r="B104" s="618"/>
      <c r="C104" s="60"/>
      <c r="D104" s="19"/>
      <c r="E104" s="19"/>
      <c r="F104" s="15"/>
      <c r="G104" s="15"/>
      <c r="H104" s="15"/>
      <c r="I104" s="19"/>
      <c r="J104" s="19"/>
      <c r="K104" s="49"/>
      <c r="L104" s="619"/>
    </row>
    <row r="105" spans="2:12" ht="15.75" x14ac:dyDescent="0.25">
      <c r="B105" s="620"/>
      <c r="C105" s="90"/>
      <c r="D105" s="585" t="s">
        <v>602</v>
      </c>
      <c r="E105" s="585">
        <v>1500</v>
      </c>
      <c r="F105" s="17"/>
      <c r="G105" s="14"/>
      <c r="H105" s="20"/>
      <c r="I105" s="585" t="s">
        <v>245</v>
      </c>
      <c r="J105" s="585">
        <f>E105*2</f>
        <v>3000</v>
      </c>
      <c r="K105" s="84"/>
      <c r="L105" s="622"/>
    </row>
    <row r="106" spans="2:12" ht="15.75" x14ac:dyDescent="0.25">
      <c r="B106" s="623"/>
      <c r="C106" s="61"/>
      <c r="D106" s="19"/>
      <c r="E106" s="19"/>
      <c r="F106" s="16"/>
      <c r="G106" s="16"/>
      <c r="H106" s="16"/>
      <c r="I106" s="19"/>
      <c r="J106" s="19"/>
      <c r="K106" s="59"/>
      <c r="L106" s="624"/>
    </row>
    <row r="107" spans="2:12" ht="15.75" x14ac:dyDescent="0.25">
      <c r="B107" s="159"/>
      <c r="C107" s="586" t="s">
        <v>292</v>
      </c>
      <c r="D107" s="951" t="s">
        <v>291</v>
      </c>
      <c r="E107" s="951"/>
      <c r="F107" s="951"/>
      <c r="G107" s="951"/>
      <c r="H107" s="951"/>
      <c r="I107" s="951"/>
      <c r="J107" s="951"/>
      <c r="K107" s="40" t="s">
        <v>7</v>
      </c>
      <c r="L107" s="168">
        <f>K110</f>
        <v>20</v>
      </c>
    </row>
    <row r="108" spans="2:12" x14ac:dyDescent="0.25">
      <c r="B108" s="189"/>
      <c r="C108" s="25"/>
      <c r="D108" s="39"/>
      <c r="E108" s="39"/>
      <c r="F108" s="43"/>
      <c r="G108" s="25"/>
      <c r="H108" s="25"/>
      <c r="I108" s="25"/>
      <c r="J108" s="25"/>
      <c r="K108" s="39"/>
      <c r="L108" s="542"/>
    </row>
    <row r="109" spans="2:12" x14ac:dyDescent="0.25">
      <c r="B109" s="179"/>
      <c r="C109" s="37"/>
      <c r="D109" s="105" t="s">
        <v>293</v>
      </c>
      <c r="E109" s="105">
        <f>7+3</f>
        <v>10</v>
      </c>
      <c r="F109" s="581" t="s">
        <v>107</v>
      </c>
      <c r="G109" s="36"/>
      <c r="J109" s="37"/>
      <c r="K109" s="579" t="s">
        <v>245</v>
      </c>
      <c r="L109" s="543"/>
    </row>
    <row r="110" spans="2:12" x14ac:dyDescent="0.25">
      <c r="B110" s="179"/>
      <c r="D110" s="25"/>
      <c r="E110" s="25"/>
      <c r="F110" s="34"/>
      <c r="J110" s="37"/>
      <c r="K110" s="108">
        <f>E109*2</f>
        <v>20</v>
      </c>
      <c r="L110" s="543"/>
    </row>
    <row r="111" spans="2:12" x14ac:dyDescent="0.25">
      <c r="B111" s="299"/>
      <c r="C111" s="47"/>
      <c r="D111" s="47"/>
      <c r="E111" s="47"/>
      <c r="F111" s="54"/>
      <c r="G111" s="47"/>
      <c r="H111" s="47"/>
      <c r="I111" s="47"/>
      <c r="J111" s="47"/>
      <c r="K111" s="39"/>
      <c r="L111" s="632"/>
    </row>
    <row r="112" spans="2:12" ht="15.75" x14ac:dyDescent="0.25">
      <c r="B112" s="159"/>
      <c r="C112" s="586" t="s">
        <v>295</v>
      </c>
      <c r="D112" s="951" t="s">
        <v>296</v>
      </c>
      <c r="E112" s="951"/>
      <c r="F112" s="951"/>
      <c r="G112" s="951"/>
      <c r="H112" s="951"/>
      <c r="I112" s="951"/>
      <c r="J112" s="951"/>
      <c r="K112" s="40" t="s">
        <v>7</v>
      </c>
      <c r="L112" s="168">
        <f>K115</f>
        <v>12</v>
      </c>
    </row>
    <row r="113" spans="2:12" x14ac:dyDescent="0.25">
      <c r="B113" s="189"/>
      <c r="C113" s="25"/>
      <c r="D113" s="39"/>
      <c r="E113" s="39"/>
      <c r="F113" s="34"/>
      <c r="G113" s="25"/>
      <c r="H113" s="25"/>
      <c r="I113" s="25"/>
      <c r="J113" s="25"/>
      <c r="K113" s="39"/>
      <c r="L113" s="542"/>
    </row>
    <row r="114" spans="2:12" x14ac:dyDescent="0.25">
      <c r="B114" s="179"/>
      <c r="C114" s="37"/>
      <c r="D114" s="579" t="s">
        <v>106</v>
      </c>
      <c r="E114" s="579" t="s">
        <v>155</v>
      </c>
      <c r="F114" s="38"/>
      <c r="J114" s="37"/>
      <c r="K114" s="579" t="s">
        <v>245</v>
      </c>
      <c r="L114" s="543"/>
    </row>
    <row r="115" spans="2:12" x14ac:dyDescent="0.25">
      <c r="B115" s="179"/>
      <c r="C115" s="37"/>
      <c r="D115" s="106" t="s">
        <v>85</v>
      </c>
      <c r="E115" s="118">
        <v>1</v>
      </c>
      <c r="F115" s="38"/>
      <c r="J115" s="37"/>
      <c r="K115" s="108">
        <f>E119*2</f>
        <v>12</v>
      </c>
      <c r="L115" s="543"/>
    </row>
    <row r="116" spans="2:12" x14ac:dyDescent="0.25">
      <c r="B116" s="179"/>
      <c r="C116" s="37"/>
      <c r="D116" s="106" t="s">
        <v>297</v>
      </c>
      <c r="E116" s="118">
        <v>2</v>
      </c>
      <c r="F116" s="38"/>
      <c r="K116" s="25"/>
      <c r="L116" s="544"/>
    </row>
    <row r="117" spans="2:12" x14ac:dyDescent="0.25">
      <c r="B117" s="179"/>
      <c r="C117" s="37"/>
      <c r="D117" s="106" t="s">
        <v>102</v>
      </c>
      <c r="E117" s="118">
        <v>2</v>
      </c>
      <c r="F117" s="38"/>
      <c r="L117" s="544"/>
    </row>
    <row r="118" spans="2:12" x14ac:dyDescent="0.25">
      <c r="B118" s="179"/>
      <c r="C118" s="37"/>
      <c r="D118" s="106" t="s">
        <v>103</v>
      </c>
      <c r="E118" s="118">
        <v>1</v>
      </c>
      <c r="F118" s="38"/>
      <c r="L118" s="544"/>
    </row>
    <row r="119" spans="2:12" x14ac:dyDescent="0.25">
      <c r="B119" s="179"/>
      <c r="C119" s="37"/>
      <c r="D119" s="579" t="s">
        <v>77</v>
      </c>
      <c r="E119" s="108">
        <f>SUM(E115:E118)</f>
        <v>6</v>
      </c>
      <c r="F119" s="38"/>
      <c r="L119" s="544"/>
    </row>
    <row r="120" spans="2:12" x14ac:dyDescent="0.25">
      <c r="B120" s="299"/>
      <c r="C120" s="47"/>
      <c r="D120" s="39"/>
      <c r="E120" s="39"/>
      <c r="F120" s="54"/>
      <c r="G120" s="47"/>
      <c r="H120" s="47"/>
      <c r="I120" s="47"/>
      <c r="J120" s="47"/>
      <c r="K120" s="47"/>
      <c r="L120" s="632"/>
    </row>
    <row r="121" spans="2:12" ht="15.75" x14ac:dyDescent="0.25">
      <c r="B121" s="159"/>
      <c r="C121" s="586" t="s">
        <v>298</v>
      </c>
      <c r="D121" s="951" t="s">
        <v>299</v>
      </c>
      <c r="E121" s="951"/>
      <c r="F121" s="951"/>
      <c r="G121" s="951"/>
      <c r="H121" s="951"/>
      <c r="I121" s="951"/>
      <c r="J121" s="951"/>
      <c r="K121" s="40" t="s">
        <v>8</v>
      </c>
      <c r="L121" s="633">
        <f>K124</f>
        <v>81.66</v>
      </c>
    </row>
    <row r="122" spans="2:12" x14ac:dyDescent="0.25">
      <c r="B122" s="189"/>
      <c r="C122" s="25"/>
      <c r="D122" s="39"/>
      <c r="E122" s="39"/>
      <c r="F122" s="34"/>
      <c r="G122" s="25"/>
      <c r="H122" s="25"/>
      <c r="I122" s="25"/>
      <c r="J122" s="25"/>
      <c r="K122" s="39"/>
      <c r="L122" s="542"/>
    </row>
    <row r="123" spans="2:12" x14ac:dyDescent="0.25">
      <c r="B123" s="179"/>
      <c r="C123" s="37"/>
      <c r="D123" s="77" t="s">
        <v>300</v>
      </c>
      <c r="E123" s="585" t="s">
        <v>77</v>
      </c>
      <c r="F123" s="38"/>
      <c r="J123" s="37"/>
      <c r="K123" s="579" t="s">
        <v>245</v>
      </c>
      <c r="L123" s="543"/>
    </row>
    <row r="124" spans="2:12" x14ac:dyDescent="0.25">
      <c r="B124" s="179"/>
      <c r="C124" s="37"/>
      <c r="D124" s="77">
        <f>40.83</f>
        <v>40.83</v>
      </c>
      <c r="E124" s="585">
        <f>D124</f>
        <v>40.83</v>
      </c>
      <c r="F124" s="38"/>
      <c r="J124" s="37"/>
      <c r="K124" s="108">
        <f>E124*2</f>
        <v>81.66</v>
      </c>
      <c r="L124" s="543"/>
    </row>
    <row r="125" spans="2:12" x14ac:dyDescent="0.25">
      <c r="B125" s="299"/>
      <c r="C125" s="47"/>
      <c r="D125" s="39"/>
      <c r="E125" s="39"/>
      <c r="F125" s="54"/>
      <c r="G125" s="47"/>
      <c r="H125" s="47"/>
      <c r="I125" s="47"/>
      <c r="J125" s="47"/>
      <c r="K125" s="39"/>
      <c r="L125" s="632"/>
    </row>
    <row r="126" spans="2:12" ht="15.75" x14ac:dyDescent="0.25">
      <c r="B126" s="159"/>
      <c r="C126" s="586" t="s">
        <v>319</v>
      </c>
      <c r="D126" s="951" t="s">
        <v>320</v>
      </c>
      <c r="E126" s="951"/>
      <c r="F126" s="951"/>
      <c r="G126" s="951"/>
      <c r="H126" s="951"/>
      <c r="I126" s="951"/>
      <c r="J126" s="951"/>
      <c r="K126" s="40" t="s">
        <v>8</v>
      </c>
      <c r="L126" s="168">
        <f>F133*2</f>
        <v>46</v>
      </c>
    </row>
    <row r="127" spans="2:12" x14ac:dyDescent="0.25">
      <c r="B127" s="189"/>
      <c r="C127" s="203"/>
      <c r="D127" s="206"/>
      <c r="E127" s="206"/>
      <c r="F127" s="206"/>
      <c r="G127" s="206"/>
      <c r="H127" s="206"/>
      <c r="I127" s="206"/>
      <c r="J127" s="206"/>
      <c r="K127" s="207"/>
      <c r="L127" s="542"/>
    </row>
    <row r="128" spans="2:12" x14ac:dyDescent="0.25">
      <c r="B128" s="179"/>
      <c r="C128" s="220"/>
      <c r="D128" s="579" t="s">
        <v>339</v>
      </c>
      <c r="E128" s="579" t="s">
        <v>340</v>
      </c>
      <c r="F128" s="579" t="s">
        <v>341</v>
      </c>
      <c r="G128" s="579" t="s">
        <v>342</v>
      </c>
      <c r="H128" s="579" t="s">
        <v>343</v>
      </c>
      <c r="I128" s="579" t="s">
        <v>344</v>
      </c>
      <c r="J128" s="579" t="s">
        <v>345</v>
      </c>
      <c r="K128" s="579" t="s">
        <v>346</v>
      </c>
      <c r="L128" s="543"/>
    </row>
    <row r="129" spans="2:12" x14ac:dyDescent="0.25">
      <c r="B129" s="179"/>
      <c r="C129" s="220"/>
      <c r="D129" s="579" t="s">
        <v>331</v>
      </c>
      <c r="E129" s="579" t="s">
        <v>335</v>
      </c>
      <c r="F129" s="579">
        <v>23</v>
      </c>
      <c r="G129" s="579">
        <f>4*23</f>
        <v>92</v>
      </c>
      <c r="H129" s="579"/>
      <c r="I129" s="579"/>
      <c r="J129" s="579"/>
      <c r="K129" s="579"/>
      <c r="L129" s="543"/>
    </row>
    <row r="130" spans="2:12" x14ac:dyDescent="0.25">
      <c r="B130" s="179"/>
      <c r="C130" s="220"/>
      <c r="D130" s="579" t="s">
        <v>333</v>
      </c>
      <c r="E130" s="579" t="s">
        <v>336</v>
      </c>
      <c r="F130" s="579"/>
      <c r="G130" s="579"/>
      <c r="H130" s="579">
        <v>20</v>
      </c>
      <c r="I130" s="579"/>
      <c r="J130" s="579">
        <f>4*20</f>
        <v>80</v>
      </c>
      <c r="K130" s="579"/>
      <c r="L130" s="543"/>
    </row>
    <row r="131" spans="2:12" x14ac:dyDescent="0.25">
      <c r="B131" s="179"/>
      <c r="C131" s="220"/>
      <c r="D131" s="579" t="s">
        <v>332</v>
      </c>
      <c r="E131" s="579" t="s">
        <v>337</v>
      </c>
      <c r="F131" s="579"/>
      <c r="G131" s="579">
        <v>30</v>
      </c>
      <c r="H131" s="579"/>
      <c r="I131" s="579">
        <f>4*30</f>
        <v>120</v>
      </c>
      <c r="J131" s="579"/>
      <c r="K131" s="579"/>
      <c r="L131" s="543"/>
    </row>
    <row r="132" spans="2:12" x14ac:dyDescent="0.25">
      <c r="B132" s="179"/>
      <c r="C132" s="220"/>
      <c r="D132" s="579" t="s">
        <v>334</v>
      </c>
      <c r="E132" s="579" t="s">
        <v>338</v>
      </c>
      <c r="F132" s="579"/>
      <c r="G132" s="579"/>
      <c r="H132" s="579"/>
      <c r="I132" s="579">
        <v>33</v>
      </c>
      <c r="J132" s="579"/>
      <c r="K132" s="579">
        <f>4*33</f>
        <v>132</v>
      </c>
      <c r="L132" s="543"/>
    </row>
    <row r="133" spans="2:12" x14ac:dyDescent="0.25">
      <c r="B133" s="179"/>
      <c r="C133" s="220"/>
      <c r="D133" s="1122" t="s">
        <v>217</v>
      </c>
      <c r="E133" s="1122"/>
      <c r="F133" s="579">
        <f t="shared" ref="F133:K133" si="0">SUM(F129:F132)</f>
        <v>23</v>
      </c>
      <c r="G133" s="579">
        <f t="shared" si="0"/>
        <v>122</v>
      </c>
      <c r="H133" s="579">
        <f t="shared" si="0"/>
        <v>20</v>
      </c>
      <c r="I133" s="579">
        <f t="shared" si="0"/>
        <v>153</v>
      </c>
      <c r="J133" s="579">
        <f t="shared" si="0"/>
        <v>80</v>
      </c>
      <c r="K133" s="579">
        <f t="shared" si="0"/>
        <v>132</v>
      </c>
      <c r="L133" s="543"/>
    </row>
    <row r="134" spans="2:12" x14ac:dyDescent="0.25">
      <c r="B134" s="299"/>
      <c r="C134" s="47"/>
      <c r="D134" s="39"/>
      <c r="E134" s="39"/>
      <c r="F134" s="43"/>
      <c r="G134" s="39"/>
      <c r="H134" s="39"/>
      <c r="I134" s="39"/>
      <c r="J134" s="39"/>
      <c r="K134" s="39"/>
      <c r="L134" s="632"/>
    </row>
    <row r="135" spans="2:12" ht="15.75" x14ac:dyDescent="0.25">
      <c r="B135" s="159"/>
      <c r="C135" s="586" t="s">
        <v>157</v>
      </c>
      <c r="D135" s="951" t="s">
        <v>158</v>
      </c>
      <c r="E135" s="951"/>
      <c r="F135" s="951"/>
      <c r="G135" s="951"/>
      <c r="H135" s="951"/>
      <c r="I135" s="951"/>
      <c r="J135" s="951"/>
      <c r="K135" s="40" t="s">
        <v>8</v>
      </c>
      <c r="L135" s="168">
        <f>G142*2</f>
        <v>244</v>
      </c>
    </row>
    <row r="136" spans="2:12" x14ac:dyDescent="0.25">
      <c r="B136" s="189"/>
      <c r="C136" s="202"/>
      <c r="D136" s="207"/>
      <c r="E136" s="207"/>
      <c r="F136" s="207"/>
      <c r="G136" s="207"/>
      <c r="H136" s="207"/>
      <c r="I136" s="207"/>
      <c r="J136" s="207"/>
      <c r="K136" s="207"/>
      <c r="L136" s="542"/>
    </row>
    <row r="137" spans="2:12" x14ac:dyDescent="0.25">
      <c r="B137" s="179"/>
      <c r="C137" s="221"/>
      <c r="D137" s="578" t="s">
        <v>339</v>
      </c>
      <c r="E137" s="578" t="s">
        <v>340</v>
      </c>
      <c r="F137" s="578" t="s">
        <v>341</v>
      </c>
      <c r="G137" s="578" t="s">
        <v>342</v>
      </c>
      <c r="H137" s="578" t="s">
        <v>343</v>
      </c>
      <c r="I137" s="578" t="s">
        <v>344</v>
      </c>
      <c r="J137" s="578" t="s">
        <v>345</v>
      </c>
      <c r="K137" s="578" t="s">
        <v>346</v>
      </c>
      <c r="L137" s="543"/>
    </row>
    <row r="138" spans="2:12" x14ac:dyDescent="0.25">
      <c r="B138" s="179"/>
      <c r="C138" s="221"/>
      <c r="D138" s="578" t="s">
        <v>331</v>
      </c>
      <c r="E138" s="578" t="s">
        <v>335</v>
      </c>
      <c r="F138" s="578">
        <v>23</v>
      </c>
      <c r="G138" s="578">
        <f>4*23</f>
        <v>92</v>
      </c>
      <c r="H138" s="578"/>
      <c r="I138" s="578"/>
      <c r="J138" s="578"/>
      <c r="K138" s="578"/>
      <c r="L138" s="543"/>
    </row>
    <row r="139" spans="2:12" x14ac:dyDescent="0.25">
      <c r="B139" s="179"/>
      <c r="C139" s="221"/>
      <c r="D139" s="578" t="s">
        <v>333</v>
      </c>
      <c r="E139" s="578" t="s">
        <v>336</v>
      </c>
      <c r="F139" s="578"/>
      <c r="G139" s="578"/>
      <c r="H139" s="578">
        <v>20</v>
      </c>
      <c r="I139" s="578"/>
      <c r="J139" s="578">
        <f>4*20</f>
        <v>80</v>
      </c>
      <c r="K139" s="578"/>
      <c r="L139" s="543"/>
    </row>
    <row r="140" spans="2:12" x14ac:dyDescent="0.25">
      <c r="B140" s="179"/>
      <c r="C140" s="221"/>
      <c r="D140" s="578" t="s">
        <v>332</v>
      </c>
      <c r="E140" s="578" t="s">
        <v>337</v>
      </c>
      <c r="F140" s="578"/>
      <c r="G140" s="578">
        <v>30</v>
      </c>
      <c r="H140" s="578"/>
      <c r="I140" s="578">
        <f>4*30</f>
        <v>120</v>
      </c>
      <c r="J140" s="578"/>
      <c r="K140" s="578"/>
      <c r="L140" s="543"/>
    </row>
    <row r="141" spans="2:12" x14ac:dyDescent="0.25">
      <c r="B141" s="179"/>
      <c r="C141" s="221"/>
      <c r="D141" s="578" t="s">
        <v>334</v>
      </c>
      <c r="E141" s="578" t="s">
        <v>338</v>
      </c>
      <c r="F141" s="578"/>
      <c r="G141" s="578"/>
      <c r="H141" s="578"/>
      <c r="I141" s="578">
        <v>33</v>
      </c>
      <c r="J141" s="578"/>
      <c r="K141" s="578">
        <f>4*33</f>
        <v>132</v>
      </c>
      <c r="L141" s="543"/>
    </row>
    <row r="142" spans="2:12" x14ac:dyDescent="0.25">
      <c r="B142" s="179"/>
      <c r="C142" s="221"/>
      <c r="D142" s="1106" t="s">
        <v>217</v>
      </c>
      <c r="E142" s="1106"/>
      <c r="F142" s="578">
        <f t="shared" ref="F142:K142" si="1">SUM(F138:F141)</f>
        <v>23</v>
      </c>
      <c r="G142" s="578">
        <f t="shared" si="1"/>
        <v>122</v>
      </c>
      <c r="H142" s="578">
        <f t="shared" si="1"/>
        <v>20</v>
      </c>
      <c r="I142" s="578">
        <f t="shared" si="1"/>
        <v>153</v>
      </c>
      <c r="J142" s="578">
        <f t="shared" si="1"/>
        <v>80</v>
      </c>
      <c r="K142" s="578">
        <f t="shared" si="1"/>
        <v>132</v>
      </c>
      <c r="L142" s="543"/>
    </row>
    <row r="143" spans="2:12" x14ac:dyDescent="0.25">
      <c r="B143" s="299"/>
      <c r="C143" s="47"/>
      <c r="D143" s="39"/>
      <c r="E143" s="39"/>
      <c r="F143" s="43"/>
      <c r="G143" s="39"/>
      <c r="H143" s="39"/>
      <c r="I143" s="39"/>
      <c r="J143" s="39"/>
      <c r="K143" s="39"/>
      <c r="L143" s="632"/>
    </row>
    <row r="144" spans="2:12" ht="15.75" x14ac:dyDescent="0.25">
      <c r="B144" s="159"/>
      <c r="C144" s="586" t="s">
        <v>321</v>
      </c>
      <c r="D144" s="951" t="s">
        <v>322</v>
      </c>
      <c r="E144" s="951"/>
      <c r="F144" s="951"/>
      <c r="G144" s="951"/>
      <c r="H144" s="951"/>
      <c r="I144" s="951"/>
      <c r="J144" s="951"/>
      <c r="K144" s="40" t="s">
        <v>8</v>
      </c>
      <c r="L144" s="168">
        <f>H151*2</f>
        <v>40</v>
      </c>
    </row>
    <row r="145" spans="2:12" x14ac:dyDescent="0.25">
      <c r="B145" s="189"/>
      <c r="C145" s="202"/>
      <c r="D145" s="207"/>
      <c r="E145" s="207"/>
      <c r="F145" s="207"/>
      <c r="G145" s="207"/>
      <c r="H145" s="207"/>
      <c r="I145" s="207"/>
      <c r="J145" s="207"/>
      <c r="K145" s="207"/>
      <c r="L145" s="542"/>
    </row>
    <row r="146" spans="2:12" x14ac:dyDescent="0.25">
      <c r="B146" s="179"/>
      <c r="C146" s="221"/>
      <c r="D146" s="578" t="s">
        <v>339</v>
      </c>
      <c r="E146" s="578" t="s">
        <v>340</v>
      </c>
      <c r="F146" s="578" t="s">
        <v>341</v>
      </c>
      <c r="G146" s="578" t="s">
        <v>342</v>
      </c>
      <c r="H146" s="578" t="s">
        <v>343</v>
      </c>
      <c r="I146" s="578" t="s">
        <v>344</v>
      </c>
      <c r="J146" s="578" t="s">
        <v>345</v>
      </c>
      <c r="K146" s="578" t="s">
        <v>346</v>
      </c>
      <c r="L146" s="543"/>
    </row>
    <row r="147" spans="2:12" x14ac:dyDescent="0.25">
      <c r="B147" s="179"/>
      <c r="C147" s="221"/>
      <c r="D147" s="578" t="s">
        <v>331</v>
      </c>
      <c r="E147" s="578" t="s">
        <v>335</v>
      </c>
      <c r="F147" s="578">
        <v>23</v>
      </c>
      <c r="G147" s="578">
        <f>4*23</f>
        <v>92</v>
      </c>
      <c r="H147" s="578"/>
      <c r="I147" s="578"/>
      <c r="J147" s="578"/>
      <c r="K147" s="578"/>
      <c r="L147" s="543"/>
    </row>
    <row r="148" spans="2:12" x14ac:dyDescent="0.25">
      <c r="B148" s="179"/>
      <c r="C148" s="221"/>
      <c r="D148" s="578" t="s">
        <v>333</v>
      </c>
      <c r="E148" s="578" t="s">
        <v>336</v>
      </c>
      <c r="F148" s="578"/>
      <c r="G148" s="578"/>
      <c r="H148" s="578">
        <v>20</v>
      </c>
      <c r="I148" s="578"/>
      <c r="J148" s="578">
        <f>4*20</f>
        <v>80</v>
      </c>
      <c r="K148" s="578"/>
      <c r="L148" s="543"/>
    </row>
    <row r="149" spans="2:12" x14ac:dyDescent="0.25">
      <c r="B149" s="179"/>
      <c r="C149" s="221"/>
      <c r="D149" s="578" t="s">
        <v>332</v>
      </c>
      <c r="E149" s="578" t="s">
        <v>337</v>
      </c>
      <c r="F149" s="578"/>
      <c r="G149" s="578">
        <v>30</v>
      </c>
      <c r="H149" s="578"/>
      <c r="I149" s="578">
        <f>4*30</f>
        <v>120</v>
      </c>
      <c r="J149" s="578"/>
      <c r="K149" s="578"/>
      <c r="L149" s="543"/>
    </row>
    <row r="150" spans="2:12" x14ac:dyDescent="0.25">
      <c r="B150" s="179"/>
      <c r="C150" s="221"/>
      <c r="D150" s="578" t="s">
        <v>334</v>
      </c>
      <c r="E150" s="578" t="s">
        <v>338</v>
      </c>
      <c r="F150" s="578"/>
      <c r="G150" s="578"/>
      <c r="H150" s="578"/>
      <c r="I150" s="578">
        <v>33</v>
      </c>
      <c r="J150" s="578"/>
      <c r="K150" s="578">
        <f>4*33</f>
        <v>132</v>
      </c>
      <c r="L150" s="543"/>
    </row>
    <row r="151" spans="2:12" x14ac:dyDescent="0.25">
      <c r="B151" s="179"/>
      <c r="C151" s="221"/>
      <c r="D151" s="1106" t="s">
        <v>217</v>
      </c>
      <c r="E151" s="1106"/>
      <c r="F151" s="578">
        <f t="shared" ref="F151:K151" si="2">SUM(F147:F150)</f>
        <v>23</v>
      </c>
      <c r="G151" s="578">
        <f t="shared" si="2"/>
        <v>122</v>
      </c>
      <c r="H151" s="578">
        <f t="shared" si="2"/>
        <v>20</v>
      </c>
      <c r="I151" s="578">
        <f t="shared" si="2"/>
        <v>153</v>
      </c>
      <c r="J151" s="578">
        <f t="shared" si="2"/>
        <v>80</v>
      </c>
      <c r="K151" s="578">
        <f t="shared" si="2"/>
        <v>132</v>
      </c>
      <c r="L151" s="543"/>
    </row>
    <row r="152" spans="2:12" x14ac:dyDescent="0.25">
      <c r="B152" s="179"/>
      <c r="D152" s="25"/>
      <c r="E152" s="25"/>
      <c r="F152" s="34"/>
      <c r="G152" s="25"/>
      <c r="H152" s="25"/>
      <c r="I152" s="25"/>
      <c r="J152" s="25"/>
      <c r="K152" s="25"/>
      <c r="L152" s="544"/>
    </row>
    <row r="153" spans="2:12" ht="15.75" x14ac:dyDescent="0.25">
      <c r="B153" s="159"/>
      <c r="C153" s="586" t="s">
        <v>323</v>
      </c>
      <c r="D153" s="951" t="s">
        <v>324</v>
      </c>
      <c r="E153" s="951"/>
      <c r="F153" s="951"/>
      <c r="G153" s="951"/>
      <c r="H153" s="951"/>
      <c r="I153" s="951"/>
      <c r="J153" s="951"/>
      <c r="K153" s="40" t="s">
        <v>8</v>
      </c>
      <c r="L153" s="168">
        <f>I160*2</f>
        <v>306</v>
      </c>
    </row>
    <row r="154" spans="2:12" x14ac:dyDescent="0.25">
      <c r="B154" s="179"/>
      <c r="C154" s="198"/>
      <c r="D154" s="200"/>
      <c r="E154" s="200"/>
      <c r="F154" s="200"/>
      <c r="G154" s="200"/>
      <c r="H154" s="200"/>
      <c r="I154" s="200"/>
      <c r="J154" s="200"/>
      <c r="K154" s="200"/>
      <c r="L154" s="544"/>
    </row>
    <row r="155" spans="2:12" x14ac:dyDescent="0.25">
      <c r="B155" s="179"/>
      <c r="C155" s="221"/>
      <c r="D155" s="578" t="s">
        <v>339</v>
      </c>
      <c r="E155" s="578" t="s">
        <v>340</v>
      </c>
      <c r="F155" s="578" t="s">
        <v>341</v>
      </c>
      <c r="G155" s="578" t="s">
        <v>342</v>
      </c>
      <c r="H155" s="578" t="s">
        <v>343</v>
      </c>
      <c r="I155" s="578" t="s">
        <v>344</v>
      </c>
      <c r="J155" s="578" t="s">
        <v>345</v>
      </c>
      <c r="K155" s="578" t="s">
        <v>346</v>
      </c>
      <c r="L155" s="543"/>
    </row>
    <row r="156" spans="2:12" x14ac:dyDescent="0.25">
      <c r="B156" s="179"/>
      <c r="C156" s="221"/>
      <c r="D156" s="578" t="s">
        <v>331</v>
      </c>
      <c r="E156" s="578" t="s">
        <v>335</v>
      </c>
      <c r="F156" s="578">
        <v>23</v>
      </c>
      <c r="G156" s="578">
        <f>4*23</f>
        <v>92</v>
      </c>
      <c r="H156" s="578"/>
      <c r="I156" s="578"/>
      <c r="J156" s="578"/>
      <c r="K156" s="578"/>
      <c r="L156" s="543"/>
    </row>
    <row r="157" spans="2:12" x14ac:dyDescent="0.25">
      <c r="B157" s="179"/>
      <c r="C157" s="221"/>
      <c r="D157" s="578" t="s">
        <v>333</v>
      </c>
      <c r="E157" s="578" t="s">
        <v>336</v>
      </c>
      <c r="F157" s="578"/>
      <c r="G157" s="578"/>
      <c r="H157" s="578">
        <v>20</v>
      </c>
      <c r="I157" s="578"/>
      <c r="J157" s="578">
        <f>4*20</f>
        <v>80</v>
      </c>
      <c r="K157" s="578"/>
      <c r="L157" s="543"/>
    </row>
    <row r="158" spans="2:12" x14ac:dyDescent="0.25">
      <c r="B158" s="179"/>
      <c r="C158" s="221"/>
      <c r="D158" s="578" t="s">
        <v>332</v>
      </c>
      <c r="E158" s="578" t="s">
        <v>337</v>
      </c>
      <c r="F158" s="578"/>
      <c r="G158" s="578">
        <v>30</v>
      </c>
      <c r="H158" s="578"/>
      <c r="I158" s="578">
        <f>4*30</f>
        <v>120</v>
      </c>
      <c r="J158" s="578"/>
      <c r="K158" s="578"/>
      <c r="L158" s="543"/>
    </row>
    <row r="159" spans="2:12" x14ac:dyDescent="0.25">
      <c r="B159" s="179"/>
      <c r="C159" s="221"/>
      <c r="D159" s="578" t="s">
        <v>334</v>
      </c>
      <c r="E159" s="578" t="s">
        <v>338</v>
      </c>
      <c r="F159" s="578"/>
      <c r="G159" s="578"/>
      <c r="H159" s="578"/>
      <c r="I159" s="578">
        <v>33</v>
      </c>
      <c r="J159" s="578"/>
      <c r="K159" s="578">
        <f>4*33</f>
        <v>132</v>
      </c>
      <c r="L159" s="543"/>
    </row>
    <row r="160" spans="2:12" x14ac:dyDescent="0.25">
      <c r="B160" s="179"/>
      <c r="C160" s="221"/>
      <c r="D160" s="1106" t="s">
        <v>217</v>
      </c>
      <c r="E160" s="1106"/>
      <c r="F160" s="578">
        <f t="shared" ref="F160:K160" si="3">SUM(F156:F159)</f>
        <v>23</v>
      </c>
      <c r="G160" s="578">
        <f t="shared" si="3"/>
        <v>122</v>
      </c>
      <c r="H160" s="578">
        <f t="shared" si="3"/>
        <v>20</v>
      </c>
      <c r="I160" s="578">
        <f t="shared" si="3"/>
        <v>153</v>
      </c>
      <c r="J160" s="578">
        <f t="shared" si="3"/>
        <v>80</v>
      </c>
      <c r="K160" s="578">
        <f t="shared" si="3"/>
        <v>132</v>
      </c>
      <c r="L160" s="543"/>
    </row>
    <row r="161" spans="2:12" x14ac:dyDescent="0.25">
      <c r="B161" s="179"/>
      <c r="D161" s="25"/>
      <c r="E161" s="25"/>
      <c r="F161" s="34"/>
      <c r="G161" s="25"/>
      <c r="H161" s="25"/>
      <c r="I161" s="25"/>
      <c r="J161" s="25"/>
      <c r="K161" s="25"/>
      <c r="L161" s="544"/>
    </row>
    <row r="162" spans="2:12" ht="15.75" x14ac:dyDescent="0.25">
      <c r="B162" s="159"/>
      <c r="C162" s="586" t="s">
        <v>82</v>
      </c>
      <c r="D162" s="951" t="s">
        <v>83</v>
      </c>
      <c r="E162" s="951"/>
      <c r="F162" s="951"/>
      <c r="G162" s="951"/>
      <c r="H162" s="951"/>
      <c r="I162" s="951"/>
      <c r="J162" s="951"/>
      <c r="K162" s="40" t="s">
        <v>8</v>
      </c>
      <c r="L162" s="168">
        <f>J169*2</f>
        <v>160</v>
      </c>
    </row>
    <row r="163" spans="2:12" x14ac:dyDescent="0.25">
      <c r="B163" s="179"/>
      <c r="C163" s="198"/>
      <c r="D163" s="200"/>
      <c r="E163" s="200"/>
      <c r="F163" s="200"/>
      <c r="G163" s="200"/>
      <c r="H163" s="200"/>
      <c r="I163" s="200"/>
      <c r="J163" s="200"/>
      <c r="K163" s="200"/>
      <c r="L163" s="544"/>
    </row>
    <row r="164" spans="2:12" x14ac:dyDescent="0.25">
      <c r="B164" s="179"/>
      <c r="C164" s="221"/>
      <c r="D164" s="578" t="s">
        <v>339</v>
      </c>
      <c r="E164" s="578" t="s">
        <v>340</v>
      </c>
      <c r="F164" s="578" t="s">
        <v>341</v>
      </c>
      <c r="G164" s="578" t="s">
        <v>342</v>
      </c>
      <c r="H164" s="578" t="s">
        <v>343</v>
      </c>
      <c r="I164" s="578" t="s">
        <v>344</v>
      </c>
      <c r="J164" s="578" t="s">
        <v>345</v>
      </c>
      <c r="K164" s="578" t="s">
        <v>346</v>
      </c>
      <c r="L164" s="543"/>
    </row>
    <row r="165" spans="2:12" x14ac:dyDescent="0.25">
      <c r="B165" s="179"/>
      <c r="C165" s="221"/>
      <c r="D165" s="578" t="s">
        <v>331</v>
      </c>
      <c r="E165" s="578" t="s">
        <v>335</v>
      </c>
      <c r="F165" s="578">
        <v>23</v>
      </c>
      <c r="G165" s="578">
        <f>4*23</f>
        <v>92</v>
      </c>
      <c r="H165" s="578"/>
      <c r="I165" s="578"/>
      <c r="J165" s="578"/>
      <c r="K165" s="578"/>
      <c r="L165" s="543"/>
    </row>
    <row r="166" spans="2:12" x14ac:dyDescent="0.25">
      <c r="B166" s="179"/>
      <c r="C166" s="221"/>
      <c r="D166" s="578" t="s">
        <v>333</v>
      </c>
      <c r="E166" s="578" t="s">
        <v>336</v>
      </c>
      <c r="F166" s="578"/>
      <c r="G166" s="578"/>
      <c r="H166" s="578">
        <v>20</v>
      </c>
      <c r="I166" s="578"/>
      <c r="J166" s="578">
        <f>4*20</f>
        <v>80</v>
      </c>
      <c r="K166" s="578"/>
      <c r="L166" s="543"/>
    </row>
    <row r="167" spans="2:12" x14ac:dyDescent="0.25">
      <c r="B167" s="179"/>
      <c r="C167" s="221"/>
      <c r="D167" s="578" t="s">
        <v>332</v>
      </c>
      <c r="E167" s="578" t="s">
        <v>337</v>
      </c>
      <c r="F167" s="578"/>
      <c r="G167" s="578">
        <v>30</v>
      </c>
      <c r="H167" s="578"/>
      <c r="I167" s="578">
        <f>4*30</f>
        <v>120</v>
      </c>
      <c r="J167" s="578"/>
      <c r="K167" s="578"/>
      <c r="L167" s="543"/>
    </row>
    <row r="168" spans="2:12" x14ac:dyDescent="0.25">
      <c r="B168" s="179"/>
      <c r="C168" s="221"/>
      <c r="D168" s="578" t="s">
        <v>334</v>
      </c>
      <c r="E168" s="578" t="s">
        <v>338</v>
      </c>
      <c r="F168" s="578"/>
      <c r="G168" s="578"/>
      <c r="H168" s="578"/>
      <c r="I168" s="578">
        <v>33</v>
      </c>
      <c r="J168" s="578"/>
      <c r="K168" s="578">
        <f>4*33</f>
        <v>132</v>
      </c>
      <c r="L168" s="543"/>
    </row>
    <row r="169" spans="2:12" x14ac:dyDescent="0.25">
      <c r="B169" s="179"/>
      <c r="C169" s="221"/>
      <c r="D169" s="1106" t="s">
        <v>217</v>
      </c>
      <c r="E169" s="1106"/>
      <c r="F169" s="578">
        <f t="shared" ref="F169:K169" si="4">SUM(F165:F168)</f>
        <v>23</v>
      </c>
      <c r="G169" s="578">
        <f t="shared" si="4"/>
        <v>122</v>
      </c>
      <c r="H169" s="578">
        <f t="shared" si="4"/>
        <v>20</v>
      </c>
      <c r="I169" s="578">
        <f t="shared" si="4"/>
        <v>153</v>
      </c>
      <c r="J169" s="578">
        <f t="shared" si="4"/>
        <v>80</v>
      </c>
      <c r="K169" s="578">
        <f t="shared" si="4"/>
        <v>132</v>
      </c>
      <c r="L169" s="543"/>
    </row>
    <row r="170" spans="2:12" x14ac:dyDescent="0.25">
      <c r="B170" s="179"/>
      <c r="D170" s="25"/>
      <c r="E170" s="25"/>
      <c r="F170" s="34"/>
      <c r="G170" s="25"/>
      <c r="H170" s="25"/>
      <c r="I170" s="25"/>
      <c r="J170" s="25"/>
      <c r="K170" s="25"/>
      <c r="L170" s="544"/>
    </row>
    <row r="171" spans="2:12" ht="15.75" x14ac:dyDescent="0.25">
      <c r="B171" s="159"/>
      <c r="C171" s="586" t="s">
        <v>325</v>
      </c>
      <c r="D171" s="951" t="s">
        <v>326</v>
      </c>
      <c r="E171" s="951"/>
      <c r="F171" s="951"/>
      <c r="G171" s="951"/>
      <c r="H171" s="951"/>
      <c r="I171" s="951"/>
      <c r="J171" s="951"/>
      <c r="K171" s="40" t="s">
        <v>8</v>
      </c>
      <c r="L171" s="168">
        <f>K178*2</f>
        <v>264</v>
      </c>
    </row>
    <row r="172" spans="2:12" x14ac:dyDescent="0.25">
      <c r="B172" s="179"/>
      <c r="C172" s="198"/>
      <c r="D172" s="200"/>
      <c r="E172" s="200"/>
      <c r="F172" s="200"/>
      <c r="G172" s="200"/>
      <c r="H172" s="200"/>
      <c r="I172" s="200"/>
      <c r="J172" s="200"/>
      <c r="K172" s="200"/>
      <c r="L172" s="544"/>
    </row>
    <row r="173" spans="2:12" x14ac:dyDescent="0.25">
      <c r="B173" s="179"/>
      <c r="C173" s="221"/>
      <c r="D173" s="578" t="s">
        <v>339</v>
      </c>
      <c r="E173" s="578" t="s">
        <v>340</v>
      </c>
      <c r="F173" s="578" t="s">
        <v>341</v>
      </c>
      <c r="G173" s="578" t="s">
        <v>342</v>
      </c>
      <c r="H173" s="578" t="s">
        <v>343</v>
      </c>
      <c r="I173" s="578" t="s">
        <v>344</v>
      </c>
      <c r="J173" s="578" t="s">
        <v>345</v>
      </c>
      <c r="K173" s="578" t="s">
        <v>346</v>
      </c>
      <c r="L173" s="543"/>
    </row>
    <row r="174" spans="2:12" x14ac:dyDescent="0.25">
      <c r="B174" s="179"/>
      <c r="C174" s="221"/>
      <c r="D174" s="578" t="s">
        <v>331</v>
      </c>
      <c r="E174" s="578" t="s">
        <v>335</v>
      </c>
      <c r="F174" s="578">
        <v>23</v>
      </c>
      <c r="G174" s="578">
        <f>4*23</f>
        <v>92</v>
      </c>
      <c r="H174" s="578"/>
      <c r="I174" s="578"/>
      <c r="J174" s="578"/>
      <c r="K174" s="578"/>
      <c r="L174" s="543"/>
    </row>
    <row r="175" spans="2:12" x14ac:dyDescent="0.25">
      <c r="B175" s="179"/>
      <c r="C175" s="221"/>
      <c r="D175" s="578" t="s">
        <v>333</v>
      </c>
      <c r="E175" s="578" t="s">
        <v>336</v>
      </c>
      <c r="F175" s="578"/>
      <c r="G175" s="578"/>
      <c r="H175" s="578">
        <v>20</v>
      </c>
      <c r="I175" s="578"/>
      <c r="J175" s="578">
        <f>4*20</f>
        <v>80</v>
      </c>
      <c r="K175" s="578"/>
      <c r="L175" s="543"/>
    </row>
    <row r="176" spans="2:12" x14ac:dyDescent="0.25">
      <c r="B176" s="179"/>
      <c r="C176" s="221"/>
      <c r="D176" s="578" t="s">
        <v>332</v>
      </c>
      <c r="E176" s="578" t="s">
        <v>337</v>
      </c>
      <c r="F176" s="578"/>
      <c r="G176" s="578">
        <v>30</v>
      </c>
      <c r="H176" s="578"/>
      <c r="I176" s="578">
        <f>4*30</f>
        <v>120</v>
      </c>
      <c r="J176" s="578"/>
      <c r="K176" s="578"/>
      <c r="L176" s="543"/>
    </row>
    <row r="177" spans="2:12" x14ac:dyDescent="0.25">
      <c r="B177" s="179"/>
      <c r="C177" s="221"/>
      <c r="D177" s="578" t="s">
        <v>334</v>
      </c>
      <c r="E177" s="578" t="s">
        <v>338</v>
      </c>
      <c r="F177" s="578"/>
      <c r="G177" s="578"/>
      <c r="H177" s="578"/>
      <c r="I177" s="578">
        <v>33</v>
      </c>
      <c r="J177" s="578"/>
      <c r="K177" s="578">
        <f>4*33</f>
        <v>132</v>
      </c>
      <c r="L177" s="543"/>
    </row>
    <row r="178" spans="2:12" x14ac:dyDescent="0.25">
      <c r="B178" s="179"/>
      <c r="C178" s="221"/>
      <c r="D178" s="1106" t="s">
        <v>217</v>
      </c>
      <c r="E178" s="1106"/>
      <c r="F178" s="578">
        <f t="shared" ref="F178:K178" si="5">SUM(F174:F177)</f>
        <v>23</v>
      </c>
      <c r="G178" s="578">
        <f t="shared" si="5"/>
        <v>122</v>
      </c>
      <c r="H178" s="578">
        <f t="shared" si="5"/>
        <v>20</v>
      </c>
      <c r="I178" s="578">
        <f t="shared" si="5"/>
        <v>153</v>
      </c>
      <c r="J178" s="578">
        <f t="shared" si="5"/>
        <v>80</v>
      </c>
      <c r="K178" s="578">
        <f t="shared" si="5"/>
        <v>132</v>
      </c>
      <c r="L178" s="543"/>
    </row>
    <row r="179" spans="2:12" x14ac:dyDescent="0.25">
      <c r="B179" s="179"/>
      <c r="D179" s="25"/>
      <c r="E179" s="25"/>
      <c r="F179" s="34"/>
      <c r="G179" s="25"/>
      <c r="H179" s="25"/>
      <c r="I179" s="25"/>
      <c r="J179" s="25"/>
      <c r="K179" s="25"/>
      <c r="L179" s="544"/>
    </row>
    <row r="180" spans="2:12" ht="15.75" x14ac:dyDescent="0.25">
      <c r="B180" s="159"/>
      <c r="C180" s="586" t="s">
        <v>327</v>
      </c>
      <c r="D180" s="951" t="s">
        <v>328</v>
      </c>
      <c r="E180" s="951"/>
      <c r="F180" s="951"/>
      <c r="G180" s="951"/>
      <c r="H180" s="951"/>
      <c r="I180" s="951"/>
      <c r="J180" s="951"/>
      <c r="K180" s="40" t="s">
        <v>107</v>
      </c>
      <c r="L180" s="168">
        <f>K182</f>
        <v>8</v>
      </c>
    </row>
    <row r="181" spans="2:12" x14ac:dyDescent="0.25">
      <c r="B181" s="179"/>
      <c r="C181" s="198"/>
      <c r="D181" s="200"/>
      <c r="E181" s="200"/>
      <c r="F181" s="200"/>
      <c r="G181" s="200"/>
      <c r="H181" s="198"/>
      <c r="I181" s="198"/>
      <c r="J181" s="198"/>
      <c r="K181" s="200"/>
      <c r="L181" s="544"/>
    </row>
    <row r="182" spans="2:12" x14ac:dyDescent="0.25">
      <c r="B182" s="179"/>
      <c r="C182" s="221"/>
      <c r="D182" s="585" t="s">
        <v>289</v>
      </c>
      <c r="E182" s="125">
        <v>1</v>
      </c>
      <c r="F182" s="73" t="s">
        <v>107</v>
      </c>
      <c r="G182" s="1107">
        <f>E184+E183+E182</f>
        <v>4</v>
      </c>
      <c r="H182" s="222"/>
      <c r="I182" s="198"/>
      <c r="J182" s="221"/>
      <c r="K182" s="108">
        <f>G182*2</f>
        <v>8</v>
      </c>
      <c r="L182" s="543"/>
    </row>
    <row r="183" spans="2:12" x14ac:dyDescent="0.25">
      <c r="B183" s="179"/>
      <c r="C183" s="221"/>
      <c r="D183" s="583" t="s">
        <v>290</v>
      </c>
      <c r="E183" s="125">
        <v>1</v>
      </c>
      <c r="F183" s="73" t="s">
        <v>107</v>
      </c>
      <c r="G183" s="1108"/>
      <c r="H183" s="222"/>
      <c r="I183" s="198"/>
      <c r="J183" s="198"/>
      <c r="K183" s="202"/>
      <c r="L183" s="544"/>
    </row>
    <row r="184" spans="2:12" x14ac:dyDescent="0.25">
      <c r="B184" s="179"/>
      <c r="C184" s="221"/>
      <c r="D184" s="583" t="s">
        <v>315</v>
      </c>
      <c r="E184" s="125">
        <v>2</v>
      </c>
      <c r="F184" s="73" t="s">
        <v>107</v>
      </c>
      <c r="G184" s="1109"/>
      <c r="H184" s="222"/>
      <c r="I184" s="198"/>
      <c r="J184" s="198"/>
      <c r="K184" s="198"/>
      <c r="L184" s="544"/>
    </row>
    <row r="185" spans="2:12" x14ac:dyDescent="0.25">
      <c r="B185" s="179"/>
      <c r="D185" s="25"/>
      <c r="E185" s="25"/>
      <c r="F185" s="34"/>
      <c r="G185" s="25"/>
      <c r="L185" s="544"/>
    </row>
    <row r="186" spans="2:12" ht="15.75" x14ac:dyDescent="0.25">
      <c r="B186" s="159"/>
      <c r="C186" s="586" t="s">
        <v>329</v>
      </c>
      <c r="D186" s="951" t="s">
        <v>330</v>
      </c>
      <c r="E186" s="951"/>
      <c r="F186" s="951"/>
      <c r="G186" s="951"/>
      <c r="H186" s="951"/>
      <c r="I186" s="951"/>
      <c r="J186" s="951"/>
      <c r="K186" s="40" t="s">
        <v>107</v>
      </c>
      <c r="L186" s="168">
        <f>H189</f>
        <v>6</v>
      </c>
    </row>
    <row r="187" spans="2:12" x14ac:dyDescent="0.25">
      <c r="B187" s="179"/>
      <c r="D187" s="47"/>
      <c r="E187" s="47"/>
      <c r="F187" s="54"/>
      <c r="H187" s="47"/>
      <c r="L187" s="544"/>
    </row>
    <row r="188" spans="2:12" x14ac:dyDescent="0.25">
      <c r="B188" s="179"/>
      <c r="C188" s="37"/>
      <c r="D188" s="585" t="s">
        <v>289</v>
      </c>
      <c r="E188" s="125">
        <v>1</v>
      </c>
      <c r="F188" s="73" t="s">
        <v>107</v>
      </c>
      <c r="G188" s="93"/>
      <c r="H188" s="579" t="s">
        <v>245</v>
      </c>
      <c r="I188" s="36"/>
      <c r="L188" s="544"/>
    </row>
    <row r="189" spans="2:12" x14ac:dyDescent="0.25">
      <c r="B189" s="179"/>
      <c r="C189" s="37"/>
      <c r="D189" s="583" t="s">
        <v>290</v>
      </c>
      <c r="E189" s="125">
        <v>1</v>
      </c>
      <c r="F189" s="73" t="s">
        <v>107</v>
      </c>
      <c r="G189" s="124"/>
      <c r="H189" s="108">
        <f>(E188+E189+E190)*2</f>
        <v>6</v>
      </c>
      <c r="I189" s="36"/>
      <c r="L189" s="544"/>
    </row>
    <row r="190" spans="2:12" x14ac:dyDescent="0.25">
      <c r="B190" s="179"/>
      <c r="C190" s="37"/>
      <c r="D190" s="583" t="s">
        <v>315</v>
      </c>
      <c r="E190" s="125">
        <v>1</v>
      </c>
      <c r="F190" s="73" t="s">
        <v>107</v>
      </c>
      <c r="G190" s="36"/>
      <c r="H190" s="25"/>
      <c r="L190" s="544"/>
    </row>
    <row r="191" spans="2:12" x14ac:dyDescent="0.25">
      <c r="B191" s="179"/>
      <c r="D191" s="25"/>
      <c r="E191" s="25"/>
      <c r="F191" s="34"/>
      <c r="L191" s="544"/>
    </row>
    <row r="192" spans="2:12" x14ac:dyDescent="0.25">
      <c r="B192" s="179"/>
      <c r="L192" s="544"/>
    </row>
    <row r="193" spans="2:12" ht="15.75" x14ac:dyDescent="0.25">
      <c r="B193" s="159"/>
      <c r="C193" s="586" t="s">
        <v>438</v>
      </c>
      <c r="D193" s="951" t="s">
        <v>439</v>
      </c>
      <c r="E193" s="951"/>
      <c r="F193" s="951"/>
      <c r="G193" s="951"/>
      <c r="H193" s="951"/>
      <c r="I193" s="951"/>
      <c r="J193" s="951"/>
      <c r="K193" s="40" t="s">
        <v>7</v>
      </c>
      <c r="L193" s="168">
        <f>G196</f>
        <v>40</v>
      </c>
    </row>
    <row r="194" spans="2:12" x14ac:dyDescent="0.25">
      <c r="B194" s="179"/>
      <c r="D194" s="47"/>
      <c r="E194" s="47"/>
      <c r="G194" s="47"/>
      <c r="L194" s="544"/>
    </row>
    <row r="195" spans="2:12" x14ac:dyDescent="0.25">
      <c r="B195" s="179"/>
      <c r="C195" s="37"/>
      <c r="D195" s="578" t="s">
        <v>313</v>
      </c>
      <c r="E195" s="72">
        <v>4</v>
      </c>
      <c r="F195" s="217"/>
      <c r="G195" s="579" t="s">
        <v>245</v>
      </c>
      <c r="H195" s="36"/>
      <c r="L195" s="544"/>
    </row>
    <row r="196" spans="2:12" x14ac:dyDescent="0.25">
      <c r="B196" s="179"/>
      <c r="C196" s="37"/>
      <c r="D196" s="578" t="s">
        <v>314</v>
      </c>
      <c r="E196" s="72">
        <v>4</v>
      </c>
      <c r="F196" s="217"/>
      <c r="G196" s="108">
        <f>SUM(E195:E199)*2</f>
        <v>40</v>
      </c>
      <c r="H196" s="36"/>
      <c r="L196" s="544"/>
    </row>
    <row r="197" spans="2:12" x14ac:dyDescent="0.25">
      <c r="B197" s="179"/>
      <c r="C197" s="37"/>
      <c r="D197" s="578" t="s">
        <v>603</v>
      </c>
      <c r="E197" s="72">
        <v>4</v>
      </c>
      <c r="F197" s="38"/>
      <c r="G197" s="25"/>
      <c r="L197" s="544"/>
    </row>
    <row r="198" spans="2:12" x14ac:dyDescent="0.25">
      <c r="B198" s="179"/>
      <c r="C198" s="37"/>
      <c r="D198" s="578" t="s">
        <v>312</v>
      </c>
      <c r="E198" s="72">
        <v>4</v>
      </c>
      <c r="F198" s="38"/>
      <c r="L198" s="544"/>
    </row>
    <row r="199" spans="2:12" x14ac:dyDescent="0.25">
      <c r="B199" s="179"/>
      <c r="C199" s="37"/>
      <c r="D199" s="578" t="s">
        <v>315</v>
      </c>
      <c r="E199" s="72">
        <v>4</v>
      </c>
      <c r="F199" s="38"/>
      <c r="L199" s="544"/>
    </row>
    <row r="200" spans="2:12" x14ac:dyDescent="0.25">
      <c r="B200" s="179"/>
      <c r="D200" s="25"/>
      <c r="E200" s="25"/>
      <c r="L200" s="544"/>
    </row>
    <row r="201" spans="2:12" ht="15.75" x14ac:dyDescent="0.25">
      <c r="B201" s="159"/>
      <c r="C201" s="586" t="s">
        <v>440</v>
      </c>
      <c r="D201" s="951" t="s">
        <v>441</v>
      </c>
      <c r="E201" s="951"/>
      <c r="F201" s="951"/>
      <c r="G201" s="951"/>
      <c r="H201" s="951"/>
      <c r="I201" s="951"/>
      <c r="J201" s="951"/>
      <c r="K201" s="40" t="s">
        <v>7</v>
      </c>
      <c r="L201" s="168">
        <f>H203</f>
        <v>44</v>
      </c>
    </row>
    <row r="202" spans="2:12" x14ac:dyDescent="0.25">
      <c r="B202" s="179"/>
      <c r="D202" s="47"/>
      <c r="E202" s="47"/>
      <c r="G202" s="47"/>
      <c r="H202" s="47"/>
      <c r="L202" s="544"/>
    </row>
    <row r="203" spans="2:12" x14ac:dyDescent="0.25">
      <c r="B203" s="179"/>
      <c r="C203" s="37"/>
      <c r="D203" s="581" t="s">
        <v>313</v>
      </c>
      <c r="E203" s="68">
        <v>6</v>
      </c>
      <c r="F203" s="217"/>
      <c r="G203" s="579" t="s">
        <v>245</v>
      </c>
      <c r="H203" s="72">
        <f>SUM(E203:E206)*2</f>
        <v>44</v>
      </c>
      <c r="I203" s="36"/>
      <c r="L203" s="544"/>
    </row>
    <row r="204" spans="2:12" x14ac:dyDescent="0.25">
      <c r="B204" s="179"/>
      <c r="C204" s="37"/>
      <c r="D204" s="581" t="s">
        <v>314</v>
      </c>
      <c r="E204" s="68">
        <v>2</v>
      </c>
      <c r="F204" s="38"/>
      <c r="G204" s="25"/>
      <c r="H204" s="25"/>
      <c r="L204" s="544"/>
    </row>
    <row r="205" spans="2:12" x14ac:dyDescent="0.25">
      <c r="B205" s="179"/>
      <c r="C205" s="37"/>
      <c r="D205" s="581" t="s">
        <v>603</v>
      </c>
      <c r="E205" s="68">
        <v>10</v>
      </c>
      <c r="F205" s="38"/>
      <c r="L205" s="544"/>
    </row>
    <row r="206" spans="2:12" x14ac:dyDescent="0.25">
      <c r="B206" s="179"/>
      <c r="C206" s="37"/>
      <c r="D206" s="581" t="s">
        <v>312</v>
      </c>
      <c r="E206" s="68">
        <v>4</v>
      </c>
      <c r="F206" s="38"/>
      <c r="L206" s="544"/>
    </row>
    <row r="207" spans="2:12" x14ac:dyDescent="0.25">
      <c r="B207" s="179"/>
      <c r="D207" s="25"/>
      <c r="E207" s="25"/>
      <c r="L207" s="544"/>
    </row>
    <row r="208" spans="2:12" ht="15.75" x14ac:dyDescent="0.25">
      <c r="B208" s="159"/>
      <c r="C208" s="586" t="s">
        <v>442</v>
      </c>
      <c r="D208" s="951" t="s">
        <v>443</v>
      </c>
      <c r="E208" s="951"/>
      <c r="F208" s="951"/>
      <c r="G208" s="951"/>
      <c r="H208" s="951"/>
      <c r="I208" s="951"/>
      <c r="J208" s="951"/>
      <c r="K208" s="40" t="s">
        <v>7</v>
      </c>
      <c r="L208" s="168">
        <f>I210</f>
        <v>20</v>
      </c>
    </row>
    <row r="209" spans="2:12" x14ac:dyDescent="0.25">
      <c r="B209" s="179"/>
      <c r="D209" s="47"/>
      <c r="E209" s="47"/>
      <c r="I209" s="47"/>
      <c r="L209" s="544"/>
    </row>
    <row r="210" spans="2:12" x14ac:dyDescent="0.25">
      <c r="B210" s="179"/>
      <c r="C210" s="37"/>
      <c r="D210" s="105" t="s">
        <v>313</v>
      </c>
      <c r="E210" s="108">
        <v>3</v>
      </c>
      <c r="F210" s="38"/>
      <c r="H210" s="37"/>
      <c r="I210" s="72">
        <f>(E210+E211)*2</f>
        <v>20</v>
      </c>
      <c r="J210" s="36"/>
      <c r="L210" s="544"/>
    </row>
    <row r="211" spans="2:12" x14ac:dyDescent="0.25">
      <c r="B211" s="179"/>
      <c r="C211" s="37"/>
      <c r="D211" s="105" t="s">
        <v>314</v>
      </c>
      <c r="E211" s="108">
        <v>7</v>
      </c>
      <c r="F211" s="38"/>
      <c r="I211" s="25"/>
      <c r="L211" s="544"/>
    </row>
    <row r="212" spans="2:12" x14ac:dyDescent="0.25">
      <c r="B212" s="179"/>
      <c r="D212" s="25"/>
      <c r="E212" s="25"/>
      <c r="L212" s="544"/>
    </row>
    <row r="213" spans="2:12" ht="15.75" x14ac:dyDescent="0.25">
      <c r="B213" s="159"/>
      <c r="C213" s="586" t="s">
        <v>444</v>
      </c>
      <c r="D213" s="951" t="s">
        <v>445</v>
      </c>
      <c r="E213" s="951"/>
      <c r="F213" s="951"/>
      <c r="G213" s="951"/>
      <c r="H213" s="951"/>
      <c r="I213" s="951"/>
      <c r="J213" s="951"/>
      <c r="K213" s="40" t="s">
        <v>7</v>
      </c>
      <c r="L213" s="168">
        <f>I215</f>
        <v>60</v>
      </c>
    </row>
    <row r="214" spans="2:12" x14ac:dyDescent="0.25">
      <c r="B214" s="179"/>
      <c r="D214" s="47"/>
      <c r="E214" s="47"/>
      <c r="I214" s="47"/>
      <c r="L214" s="544"/>
    </row>
    <row r="215" spans="2:12" x14ac:dyDescent="0.25">
      <c r="B215" s="179"/>
      <c r="C215" s="37"/>
      <c r="D215" s="581" t="s">
        <v>603</v>
      </c>
      <c r="E215" s="68">
        <v>13</v>
      </c>
      <c r="F215" s="38"/>
      <c r="H215" s="37"/>
      <c r="I215" s="68">
        <f>(E215+E216)*2</f>
        <v>60</v>
      </c>
      <c r="J215" s="36"/>
      <c r="L215" s="544"/>
    </row>
    <row r="216" spans="2:12" x14ac:dyDescent="0.25">
      <c r="B216" s="179"/>
      <c r="C216" s="37"/>
      <c r="D216" s="581" t="s">
        <v>312</v>
      </c>
      <c r="E216" s="68">
        <v>17</v>
      </c>
      <c r="F216" s="38"/>
      <c r="I216" s="25"/>
      <c r="L216" s="544"/>
    </row>
    <row r="217" spans="2:12" x14ac:dyDescent="0.25">
      <c r="B217" s="179"/>
      <c r="D217" s="25"/>
      <c r="E217" s="25"/>
      <c r="L217" s="544"/>
    </row>
    <row r="218" spans="2:12" ht="15.75" x14ac:dyDescent="0.25">
      <c r="B218" s="159" t="s">
        <v>50</v>
      </c>
      <c r="C218" s="586" t="s">
        <v>224</v>
      </c>
      <c r="D218" s="951" t="str">
        <f>COMPLEMENTO!E65</f>
        <v>Fornecimento de Split System Slim Hospitalar 3TR- 220/1/60Hz- Controle 
Micro Processado+Unidade Condensadora -
Filtro G4+F9- EC Fan- Compressor Inverter- Controle 
ON/OFF- Reaquecimento 03 RES. DE 1,00KW- Vazão: 
1.700m³/h- Pressão: 150Pa</v>
      </c>
      <c r="E218" s="951"/>
      <c r="F218" s="951"/>
      <c r="G218" s="951"/>
      <c r="H218" s="951"/>
      <c r="I218" s="951"/>
      <c r="J218" s="951"/>
      <c r="K218" s="40" t="s">
        <v>7</v>
      </c>
      <c r="L218" s="168">
        <f>10*2</f>
        <v>20</v>
      </c>
    </row>
    <row r="219" spans="2:12" x14ac:dyDescent="0.25">
      <c r="B219" s="634"/>
      <c r="C219" s="11"/>
      <c r="D219" s="11"/>
      <c r="E219" s="11"/>
      <c r="F219" s="11"/>
      <c r="G219" s="11"/>
      <c r="H219" s="11"/>
      <c r="I219" s="11"/>
      <c r="J219" s="11"/>
      <c r="K219" s="11"/>
      <c r="L219" s="635"/>
    </row>
    <row r="220" spans="2:12" ht="15.75" x14ac:dyDescent="0.25">
      <c r="B220" s="159" t="s">
        <v>50</v>
      </c>
      <c r="C220" s="586" t="s">
        <v>134</v>
      </c>
      <c r="D220" s="951" t="str">
        <f>COMPLEMENTO!E77</f>
        <v>Split System Slim Hospitalar 1,5TR- 220/1/60Hz_x0002_Controle Micro Processado+ Unidade Condensadora - Filtro G4+F9+H13- EC Fan- Compressor 
Inverter- Controle ON/OFF- Reaquecimento 1,00KW_x0002_Vazão: 850m³/h- Pressão: 150Pa</v>
      </c>
      <c r="E220" s="951"/>
      <c r="F220" s="951"/>
      <c r="G220" s="951"/>
      <c r="H220" s="951"/>
      <c r="I220" s="951"/>
      <c r="J220" s="951"/>
      <c r="K220" s="40" t="s">
        <v>7</v>
      </c>
      <c r="L220" s="168">
        <f>1*2</f>
        <v>2</v>
      </c>
    </row>
    <row r="221" spans="2:12" x14ac:dyDescent="0.25">
      <c r="B221" s="634"/>
      <c r="C221" s="11"/>
      <c r="D221" s="11"/>
      <c r="E221" s="11"/>
      <c r="F221" s="11"/>
      <c r="G221" s="11"/>
      <c r="H221" s="11"/>
      <c r="I221" s="11"/>
      <c r="J221" s="11"/>
      <c r="K221" s="11"/>
      <c r="L221" s="635"/>
    </row>
    <row r="222" spans="2:12" ht="15.75" x14ac:dyDescent="0.25">
      <c r="B222" s="159" t="s">
        <v>50</v>
      </c>
      <c r="C222" s="586" t="s">
        <v>150</v>
      </c>
      <c r="D222" s="951" t="s">
        <v>465</v>
      </c>
      <c r="E222" s="951"/>
      <c r="F222" s="951"/>
      <c r="G222" s="951"/>
      <c r="H222" s="951"/>
      <c r="I222" s="951"/>
      <c r="J222" s="951"/>
      <c r="K222" s="40" t="s">
        <v>7</v>
      </c>
      <c r="L222" s="168">
        <v>40</v>
      </c>
    </row>
    <row r="223" spans="2:12" x14ac:dyDescent="0.25">
      <c r="B223" s="634"/>
      <c r="C223" s="11"/>
      <c r="D223" s="11"/>
      <c r="E223" s="11"/>
      <c r="F223" s="11"/>
      <c r="G223" s="11"/>
      <c r="H223" s="11"/>
      <c r="I223" s="11"/>
      <c r="J223" s="11"/>
      <c r="K223" s="11"/>
      <c r="L223" s="635"/>
    </row>
    <row r="224" spans="2:12" ht="15.75" x14ac:dyDescent="0.25">
      <c r="B224" s="159" t="s">
        <v>50</v>
      </c>
      <c r="C224" s="586" t="s">
        <v>153</v>
      </c>
      <c r="D224" s="951" t="s">
        <v>466</v>
      </c>
      <c r="E224" s="951"/>
      <c r="F224" s="951"/>
      <c r="G224" s="951"/>
      <c r="H224" s="951"/>
      <c r="I224" s="951"/>
      <c r="J224" s="951"/>
      <c r="K224" s="40" t="s">
        <v>7</v>
      </c>
      <c r="L224" s="168">
        <v>34</v>
      </c>
    </row>
    <row r="225" spans="2:12" x14ac:dyDescent="0.25">
      <c r="B225" s="634"/>
      <c r="C225" s="11"/>
      <c r="D225" s="11"/>
      <c r="E225" s="11"/>
      <c r="F225" s="11"/>
      <c r="G225" s="11"/>
      <c r="H225" s="11"/>
      <c r="I225" s="11"/>
      <c r="J225" s="11"/>
      <c r="K225" s="11"/>
      <c r="L225" s="635"/>
    </row>
    <row r="226" spans="2:12" ht="15.75" x14ac:dyDescent="0.25">
      <c r="B226" s="159" t="s">
        <v>50</v>
      </c>
      <c r="C226" s="586" t="s">
        <v>467</v>
      </c>
      <c r="D226" s="951" t="s">
        <v>468</v>
      </c>
      <c r="E226" s="951"/>
      <c r="F226" s="951"/>
      <c r="G226" s="951"/>
      <c r="H226" s="951"/>
      <c r="I226" s="951"/>
      <c r="J226" s="951"/>
      <c r="K226" s="40" t="s">
        <v>7</v>
      </c>
      <c r="L226" s="168">
        <v>2</v>
      </c>
    </row>
    <row r="227" spans="2:12" x14ac:dyDescent="0.25">
      <c r="B227" s="634"/>
      <c r="C227" s="11"/>
      <c r="D227" s="11"/>
      <c r="E227" s="11"/>
      <c r="F227" s="11"/>
      <c r="G227" s="11"/>
      <c r="H227" s="11"/>
      <c r="I227" s="11"/>
      <c r="J227" s="11"/>
      <c r="K227" s="11"/>
      <c r="L227" s="635"/>
    </row>
    <row r="228" spans="2:12" ht="15.75" x14ac:dyDescent="0.25">
      <c r="B228" s="159" t="s">
        <v>50</v>
      </c>
      <c r="C228" s="586" t="s">
        <v>154</v>
      </c>
      <c r="D228" s="951" t="s">
        <v>469</v>
      </c>
      <c r="E228" s="951"/>
      <c r="F228" s="951"/>
      <c r="G228" s="951"/>
      <c r="H228" s="951"/>
      <c r="I228" s="951"/>
      <c r="J228" s="951"/>
      <c r="K228" s="40" t="s">
        <v>7</v>
      </c>
      <c r="L228" s="168">
        <v>2</v>
      </c>
    </row>
    <row r="229" spans="2:12" x14ac:dyDescent="0.25">
      <c r="B229" s="634"/>
      <c r="C229" s="11"/>
      <c r="D229" s="11"/>
      <c r="E229" s="11"/>
      <c r="F229" s="11"/>
      <c r="G229" s="11"/>
      <c r="H229" s="11"/>
      <c r="I229" s="11"/>
      <c r="J229" s="11"/>
      <c r="K229" s="11"/>
      <c r="L229" s="635"/>
    </row>
    <row r="230" spans="2:12" ht="15.75" x14ac:dyDescent="0.25">
      <c r="B230" s="159" t="s">
        <v>50</v>
      </c>
      <c r="C230" s="586" t="s">
        <v>467</v>
      </c>
      <c r="D230" s="951" t="s">
        <v>470</v>
      </c>
      <c r="E230" s="951"/>
      <c r="F230" s="951"/>
      <c r="G230" s="951"/>
      <c r="H230" s="951"/>
      <c r="I230" s="951"/>
      <c r="J230" s="951"/>
      <c r="K230" s="40" t="s">
        <v>7</v>
      </c>
      <c r="L230" s="168">
        <v>2</v>
      </c>
    </row>
    <row r="231" spans="2:12" x14ac:dyDescent="0.25">
      <c r="B231" s="634"/>
      <c r="C231" s="11"/>
      <c r="D231" s="11"/>
      <c r="E231" s="11"/>
      <c r="F231" s="11"/>
      <c r="G231" s="11"/>
      <c r="H231" s="11"/>
      <c r="I231" s="11"/>
      <c r="J231" s="11"/>
      <c r="K231" s="11"/>
      <c r="L231" s="635"/>
    </row>
    <row r="232" spans="2:12" ht="15.75" x14ac:dyDescent="0.25">
      <c r="B232" s="159" t="s">
        <v>50</v>
      </c>
      <c r="C232" s="586" t="s">
        <v>151</v>
      </c>
      <c r="D232" s="951" t="s">
        <v>471</v>
      </c>
      <c r="E232" s="951"/>
      <c r="F232" s="951"/>
      <c r="G232" s="951"/>
      <c r="H232" s="951"/>
      <c r="I232" s="951"/>
      <c r="J232" s="951"/>
      <c r="K232" s="40" t="s">
        <v>7</v>
      </c>
      <c r="L232" s="168">
        <v>4</v>
      </c>
    </row>
    <row r="233" spans="2:12" x14ac:dyDescent="0.25">
      <c r="B233" s="634"/>
      <c r="C233" s="11"/>
      <c r="D233" s="11"/>
      <c r="E233" s="11"/>
      <c r="F233" s="11"/>
      <c r="G233" s="11"/>
      <c r="H233" s="11"/>
      <c r="I233" s="11"/>
      <c r="J233" s="11"/>
      <c r="K233" s="11"/>
      <c r="L233" s="635"/>
    </row>
    <row r="234" spans="2:12" ht="15.75" x14ac:dyDescent="0.25">
      <c r="B234" s="159" t="s">
        <v>50</v>
      </c>
      <c r="C234" s="586" t="s">
        <v>151</v>
      </c>
      <c r="D234" s="951" t="s">
        <v>472</v>
      </c>
      <c r="E234" s="951"/>
      <c r="F234" s="951"/>
      <c r="G234" s="951"/>
      <c r="H234" s="951"/>
      <c r="I234" s="951"/>
      <c r="J234" s="951"/>
      <c r="K234" s="40" t="s">
        <v>7</v>
      </c>
      <c r="L234" s="168">
        <v>2</v>
      </c>
    </row>
    <row r="235" spans="2:12" x14ac:dyDescent="0.25">
      <c r="B235" s="634"/>
      <c r="C235" s="11"/>
      <c r="D235" s="11"/>
      <c r="E235" s="11"/>
      <c r="F235" s="11"/>
      <c r="G235" s="11"/>
      <c r="H235" s="11"/>
      <c r="I235" s="11"/>
      <c r="J235" s="11"/>
      <c r="K235" s="11"/>
      <c r="L235" s="635"/>
    </row>
    <row r="236" spans="2:12" ht="15.75" x14ac:dyDescent="0.25">
      <c r="B236" s="159" t="s">
        <v>50</v>
      </c>
      <c r="C236" s="586" t="s">
        <v>154</v>
      </c>
      <c r="D236" s="951" t="s">
        <v>473</v>
      </c>
      <c r="E236" s="951"/>
      <c r="F236" s="951"/>
      <c r="G236" s="951"/>
      <c r="H236" s="951"/>
      <c r="I236" s="951"/>
      <c r="J236" s="951"/>
      <c r="K236" s="40" t="s">
        <v>7</v>
      </c>
      <c r="L236" s="168">
        <v>2</v>
      </c>
    </row>
    <row r="237" spans="2:12" x14ac:dyDescent="0.25">
      <c r="B237" s="634"/>
      <c r="C237" s="11"/>
      <c r="D237" s="11"/>
      <c r="E237" s="11"/>
      <c r="F237" s="11"/>
      <c r="G237" s="11"/>
      <c r="H237" s="11"/>
      <c r="I237" s="11"/>
      <c r="J237" s="11"/>
      <c r="K237" s="11"/>
      <c r="L237" s="635"/>
    </row>
    <row r="238" spans="2:12" ht="15.75" x14ac:dyDescent="0.25">
      <c r="B238" s="159" t="s">
        <v>50</v>
      </c>
      <c r="C238" s="586" t="s">
        <v>154</v>
      </c>
      <c r="D238" s="951" t="s">
        <v>474</v>
      </c>
      <c r="E238" s="951"/>
      <c r="F238" s="951"/>
      <c r="G238" s="951"/>
      <c r="H238" s="951"/>
      <c r="I238" s="951"/>
      <c r="J238" s="951"/>
      <c r="K238" s="40" t="s">
        <v>7</v>
      </c>
      <c r="L238" s="168">
        <v>2</v>
      </c>
    </row>
    <row r="239" spans="2:12" x14ac:dyDescent="0.25">
      <c r="B239" s="634"/>
      <c r="C239" s="11"/>
      <c r="D239" s="11"/>
      <c r="E239" s="11"/>
      <c r="F239" s="11"/>
      <c r="G239" s="11"/>
      <c r="H239" s="11"/>
      <c r="I239" s="11"/>
      <c r="J239" s="11"/>
      <c r="K239" s="11"/>
      <c r="L239" s="635"/>
    </row>
    <row r="240" spans="2:12" ht="15.75" x14ac:dyDescent="0.25">
      <c r="B240" s="159" t="s">
        <v>50</v>
      </c>
      <c r="C240" s="586" t="s">
        <v>154</v>
      </c>
      <c r="D240" s="951" t="s">
        <v>475</v>
      </c>
      <c r="E240" s="951"/>
      <c r="F240" s="951"/>
      <c r="G240" s="951"/>
      <c r="H240" s="951"/>
      <c r="I240" s="951"/>
      <c r="J240" s="951"/>
      <c r="K240" s="40" t="s">
        <v>7</v>
      </c>
      <c r="L240" s="168">
        <v>2</v>
      </c>
    </row>
    <row r="241" spans="2:12" x14ac:dyDescent="0.25">
      <c r="B241" s="634"/>
      <c r="C241" s="11"/>
      <c r="D241" s="11"/>
      <c r="E241" s="11"/>
      <c r="F241" s="11"/>
      <c r="G241" s="11"/>
      <c r="H241" s="11"/>
      <c r="I241" s="11"/>
      <c r="J241" s="11"/>
      <c r="K241" s="11"/>
      <c r="L241" s="635"/>
    </row>
    <row r="242" spans="2:12" ht="15.75" x14ac:dyDescent="0.25">
      <c r="B242" s="159" t="s">
        <v>50</v>
      </c>
      <c r="C242" s="586" t="s">
        <v>467</v>
      </c>
      <c r="D242" s="951" t="s">
        <v>476</v>
      </c>
      <c r="E242" s="951"/>
      <c r="F242" s="951"/>
      <c r="G242" s="951"/>
      <c r="H242" s="951"/>
      <c r="I242" s="951"/>
      <c r="J242" s="951"/>
      <c r="K242" s="40" t="s">
        <v>7</v>
      </c>
      <c r="L242" s="168">
        <v>4</v>
      </c>
    </row>
    <row r="243" spans="2:12" x14ac:dyDescent="0.25">
      <c r="B243" s="634"/>
      <c r="C243" s="11"/>
      <c r="D243" s="11"/>
      <c r="E243" s="11"/>
      <c r="F243" s="11"/>
      <c r="G243" s="11"/>
      <c r="H243" s="11"/>
      <c r="I243" s="11"/>
      <c r="J243" s="11"/>
      <c r="K243" s="11"/>
      <c r="L243" s="635"/>
    </row>
    <row r="244" spans="2:12" ht="15.75" x14ac:dyDescent="0.25">
      <c r="B244" s="159" t="s">
        <v>50</v>
      </c>
      <c r="C244" s="586" t="s">
        <v>467</v>
      </c>
      <c r="D244" s="951" t="s">
        <v>477</v>
      </c>
      <c r="E244" s="951"/>
      <c r="F244" s="951"/>
      <c r="G244" s="951"/>
      <c r="H244" s="951"/>
      <c r="I244" s="951"/>
      <c r="J244" s="951"/>
      <c r="K244" s="40" t="s">
        <v>7</v>
      </c>
      <c r="L244" s="168">
        <v>4</v>
      </c>
    </row>
    <row r="245" spans="2:12" x14ac:dyDescent="0.25">
      <c r="B245" s="634"/>
      <c r="C245" s="11"/>
      <c r="D245" s="11"/>
      <c r="E245" s="11"/>
      <c r="F245" s="11"/>
      <c r="G245" s="11"/>
      <c r="H245" s="11"/>
      <c r="I245" s="11"/>
      <c r="J245" s="11"/>
      <c r="K245" s="11"/>
      <c r="L245" s="635"/>
    </row>
    <row r="246" spans="2:12" ht="15.75" x14ac:dyDescent="0.25">
      <c r="B246" s="159" t="s">
        <v>50</v>
      </c>
      <c r="C246" s="586" t="s">
        <v>154</v>
      </c>
      <c r="D246" s="951" t="s">
        <v>478</v>
      </c>
      <c r="E246" s="951"/>
      <c r="F246" s="951"/>
      <c r="G246" s="951"/>
      <c r="H246" s="951"/>
      <c r="I246" s="951"/>
      <c r="J246" s="951"/>
      <c r="K246" s="40" t="s">
        <v>7</v>
      </c>
      <c r="L246" s="168">
        <v>2</v>
      </c>
    </row>
    <row r="247" spans="2:12" ht="15.75" x14ac:dyDescent="0.25">
      <c r="B247" s="620"/>
      <c r="C247" s="14"/>
      <c r="D247" s="51"/>
      <c r="E247" s="51"/>
      <c r="F247" s="51"/>
      <c r="G247" s="51"/>
      <c r="H247" s="51"/>
      <c r="I247" s="51"/>
      <c r="J247" s="51"/>
      <c r="K247" s="10"/>
      <c r="L247" s="629"/>
    </row>
    <row r="248" spans="2:12" ht="15.75" x14ac:dyDescent="0.25">
      <c r="B248" s="159"/>
      <c r="C248" s="586" t="s">
        <v>225</v>
      </c>
      <c r="D248" s="951" t="s">
        <v>226</v>
      </c>
      <c r="E248" s="951"/>
      <c r="F248" s="951"/>
      <c r="G248" s="951"/>
      <c r="H248" s="951"/>
      <c r="I248" s="951"/>
      <c r="J248" s="951"/>
      <c r="K248" s="40" t="s">
        <v>7</v>
      </c>
      <c r="L248" s="168">
        <f>31*2</f>
        <v>62</v>
      </c>
    </row>
    <row r="249" spans="2:12" ht="15.75" x14ac:dyDescent="0.25">
      <c r="B249" s="179"/>
      <c r="C249" s="223"/>
      <c r="D249" s="14"/>
      <c r="E249" s="14"/>
      <c r="F249" s="14"/>
      <c r="G249" s="14"/>
      <c r="H249" s="14"/>
      <c r="I249" s="14"/>
      <c r="J249" s="14"/>
      <c r="K249" s="10"/>
      <c r="L249" s="629"/>
    </row>
    <row r="250" spans="2:12" ht="15.75" x14ac:dyDescent="0.25">
      <c r="B250" s="159"/>
      <c r="C250" s="586" t="s">
        <v>58</v>
      </c>
      <c r="D250" s="951" t="s">
        <v>59</v>
      </c>
      <c r="E250" s="951"/>
      <c r="F250" s="951"/>
      <c r="G250" s="951"/>
      <c r="H250" s="951"/>
      <c r="I250" s="951"/>
      <c r="J250" s="951"/>
      <c r="K250" s="40" t="s">
        <v>48</v>
      </c>
      <c r="L250" s="168">
        <v>2673.24</v>
      </c>
    </row>
    <row r="251" spans="2:12" ht="15.75" x14ac:dyDescent="0.25">
      <c r="B251" s="179"/>
      <c r="C251" s="224"/>
      <c r="D251" s="14"/>
      <c r="E251" s="14"/>
      <c r="F251" s="14"/>
      <c r="G251" s="14"/>
      <c r="H251" s="14"/>
      <c r="I251" s="14"/>
      <c r="J251" s="14"/>
      <c r="K251" s="10"/>
      <c r="L251" s="629"/>
    </row>
    <row r="252" spans="2:12" ht="15.75" x14ac:dyDescent="0.25">
      <c r="B252" s="159"/>
      <c r="C252" s="586" t="s">
        <v>50</v>
      </c>
      <c r="D252" s="951" t="s">
        <v>60</v>
      </c>
      <c r="E252" s="951"/>
      <c r="F252" s="951"/>
      <c r="G252" s="951"/>
      <c r="H252" s="951"/>
      <c r="I252" s="951"/>
      <c r="J252" s="951"/>
      <c r="K252" s="40" t="s">
        <v>8</v>
      </c>
      <c r="L252" s="168">
        <f>K255</f>
        <v>177</v>
      </c>
    </row>
    <row r="253" spans="2:12" ht="15.75" x14ac:dyDescent="0.25">
      <c r="B253" s="620"/>
      <c r="C253" s="14"/>
      <c r="D253" s="16"/>
      <c r="E253" s="16"/>
      <c r="F253" s="16"/>
      <c r="G253" s="14"/>
      <c r="H253" s="14"/>
      <c r="I253" s="14"/>
      <c r="J253" s="14"/>
      <c r="K253" s="13"/>
      <c r="L253" s="629"/>
    </row>
    <row r="254" spans="2:12" ht="15.75" x14ac:dyDescent="0.25">
      <c r="B254" s="620"/>
      <c r="C254" s="20"/>
      <c r="D254" s="95" t="s">
        <v>106</v>
      </c>
      <c r="E254" s="95" t="s">
        <v>285</v>
      </c>
      <c r="F254" s="95" t="s">
        <v>8</v>
      </c>
      <c r="G254" s="17"/>
      <c r="H254" s="14"/>
      <c r="I254" s="14"/>
      <c r="J254" s="20"/>
      <c r="K254" s="575" t="s">
        <v>245</v>
      </c>
      <c r="L254" s="628"/>
    </row>
    <row r="255" spans="2:12" ht="15.75" x14ac:dyDescent="0.25">
      <c r="B255" s="620"/>
      <c r="C255" s="20"/>
      <c r="D255" s="575" t="s">
        <v>84</v>
      </c>
      <c r="E255" s="575" t="s">
        <v>279</v>
      </c>
      <c r="F255" s="108">
        <v>3.5</v>
      </c>
      <c r="G255" s="17"/>
      <c r="H255" s="14"/>
      <c r="I255" s="14"/>
      <c r="J255" s="20"/>
      <c r="K255" s="69">
        <f>E263*2</f>
        <v>177</v>
      </c>
      <c r="L255" s="628"/>
    </row>
    <row r="256" spans="2:12" ht="15.75" x14ac:dyDescent="0.25">
      <c r="B256" s="620"/>
      <c r="C256" s="20"/>
      <c r="D256" s="1103" t="s">
        <v>85</v>
      </c>
      <c r="E256" s="575" t="s">
        <v>279</v>
      </c>
      <c r="F256" s="108">
        <v>17.5</v>
      </c>
      <c r="G256" s="17"/>
      <c r="H256" s="14"/>
      <c r="I256" s="14"/>
      <c r="J256" s="14"/>
      <c r="K256" s="12"/>
      <c r="L256" s="629"/>
    </row>
    <row r="257" spans="2:12" ht="15.75" x14ac:dyDescent="0.25">
      <c r="B257" s="620"/>
      <c r="C257" s="20"/>
      <c r="D257" s="1103"/>
      <c r="E257" s="575" t="s">
        <v>280</v>
      </c>
      <c r="F257" s="108">
        <v>12</v>
      </c>
      <c r="G257" s="17"/>
      <c r="H257" s="14"/>
      <c r="I257" s="14"/>
      <c r="J257" s="14"/>
      <c r="K257" s="10"/>
      <c r="L257" s="629"/>
    </row>
    <row r="258" spans="2:12" ht="15.75" x14ac:dyDescent="0.25">
      <c r="B258" s="620"/>
      <c r="C258" s="20"/>
      <c r="D258" s="1103"/>
      <c r="E258" s="575" t="s">
        <v>280</v>
      </c>
      <c r="F258" s="108">
        <v>18.5</v>
      </c>
      <c r="G258" s="17"/>
      <c r="H258" s="14"/>
      <c r="I258" s="14"/>
      <c r="J258" s="14"/>
      <c r="K258" s="10"/>
      <c r="L258" s="629"/>
    </row>
    <row r="259" spans="2:12" ht="15.75" x14ac:dyDescent="0.25">
      <c r="B259" s="620"/>
      <c r="C259" s="20"/>
      <c r="D259" s="1103"/>
      <c r="E259" s="575" t="s">
        <v>280</v>
      </c>
      <c r="F259" s="108">
        <v>17.5</v>
      </c>
      <c r="G259" s="17"/>
      <c r="H259" s="14"/>
      <c r="I259" s="14"/>
      <c r="J259" s="14"/>
      <c r="K259" s="10"/>
      <c r="L259" s="629"/>
    </row>
    <row r="260" spans="2:12" ht="15.75" x14ac:dyDescent="0.25">
      <c r="B260" s="620"/>
      <c r="C260" s="20"/>
      <c r="D260" s="575" t="s">
        <v>99</v>
      </c>
      <c r="E260" s="575" t="s">
        <v>281</v>
      </c>
      <c r="F260" s="108">
        <v>5</v>
      </c>
      <c r="G260" s="17"/>
      <c r="H260" s="14"/>
      <c r="I260" s="14"/>
      <c r="J260" s="14"/>
      <c r="K260" s="10"/>
      <c r="L260" s="629"/>
    </row>
    <row r="261" spans="2:12" ht="15.75" x14ac:dyDescent="0.25">
      <c r="B261" s="620"/>
      <c r="C261" s="20"/>
      <c r="D261" s="575" t="s">
        <v>282</v>
      </c>
      <c r="E261" s="575" t="s">
        <v>283</v>
      </c>
      <c r="F261" s="108">
        <v>6.5</v>
      </c>
      <c r="G261" s="17"/>
      <c r="H261" s="14"/>
      <c r="I261" s="14"/>
      <c r="J261" s="14"/>
      <c r="K261" s="10"/>
      <c r="L261" s="629"/>
    </row>
    <row r="262" spans="2:12" ht="15.75" x14ac:dyDescent="0.25">
      <c r="B262" s="620"/>
      <c r="C262" s="20"/>
      <c r="D262" s="575" t="s">
        <v>103</v>
      </c>
      <c r="E262" s="575" t="s">
        <v>284</v>
      </c>
      <c r="F262" s="108">
        <v>8</v>
      </c>
      <c r="G262" s="17"/>
      <c r="H262" s="14"/>
      <c r="I262" s="14"/>
      <c r="J262" s="14"/>
      <c r="K262" s="10"/>
      <c r="L262" s="629"/>
    </row>
    <row r="263" spans="2:12" ht="15.75" x14ac:dyDescent="0.25">
      <c r="B263" s="620"/>
      <c r="C263" s="20"/>
      <c r="D263" s="95" t="s">
        <v>217</v>
      </c>
      <c r="E263" s="1104">
        <f>SUM(F255:F262)</f>
        <v>88.5</v>
      </c>
      <c r="F263" s="1104"/>
      <c r="G263" s="17"/>
      <c r="H263" s="14"/>
      <c r="I263" s="14"/>
      <c r="J263" s="14"/>
      <c r="K263" s="10"/>
      <c r="L263" s="629"/>
    </row>
    <row r="264" spans="2:12" ht="15.75" x14ac:dyDescent="0.25">
      <c r="B264" s="620"/>
      <c r="C264" s="14"/>
      <c r="D264" s="15"/>
      <c r="E264" s="15"/>
      <c r="F264" s="15"/>
      <c r="G264" s="14"/>
      <c r="H264" s="14"/>
      <c r="I264" s="14"/>
      <c r="J264" s="14"/>
      <c r="K264" s="10"/>
      <c r="L264" s="629"/>
    </row>
    <row r="265" spans="2:12" ht="15.75" x14ac:dyDescent="0.25">
      <c r="B265" s="620"/>
      <c r="C265" s="14"/>
      <c r="D265" s="14"/>
      <c r="E265" s="14"/>
      <c r="F265" s="14"/>
      <c r="G265" s="14"/>
      <c r="H265" s="14"/>
      <c r="I265" s="14"/>
      <c r="J265" s="14"/>
      <c r="K265" s="10"/>
      <c r="L265" s="629"/>
    </row>
    <row r="266" spans="2:12" ht="15.75" x14ac:dyDescent="0.25">
      <c r="B266" s="159"/>
      <c r="C266" s="586" t="s">
        <v>50</v>
      </c>
      <c r="D266" s="951" t="s">
        <v>61</v>
      </c>
      <c r="E266" s="951"/>
      <c r="F266" s="951"/>
      <c r="G266" s="951"/>
      <c r="H266" s="951"/>
      <c r="I266" s="951"/>
      <c r="J266" s="951"/>
      <c r="K266" s="40" t="s">
        <v>8</v>
      </c>
      <c r="L266" s="168">
        <f>K269</f>
        <v>338</v>
      </c>
    </row>
    <row r="267" spans="2:12" x14ac:dyDescent="0.25">
      <c r="B267" s="179"/>
      <c r="D267" s="47"/>
      <c r="E267" s="47"/>
      <c r="F267" s="54"/>
      <c r="K267" s="47"/>
      <c r="L267" s="544"/>
    </row>
    <row r="268" spans="2:12" ht="15.75" x14ac:dyDescent="0.25">
      <c r="B268" s="179"/>
      <c r="C268" s="37"/>
      <c r="D268" s="95" t="s">
        <v>106</v>
      </c>
      <c r="E268" s="95" t="s">
        <v>285</v>
      </c>
      <c r="F268" s="585" t="s">
        <v>8</v>
      </c>
      <c r="G268" s="36"/>
      <c r="J268" s="37"/>
      <c r="K268" s="575" t="s">
        <v>245</v>
      </c>
      <c r="L268" s="543"/>
    </row>
    <row r="269" spans="2:12" x14ac:dyDescent="0.25">
      <c r="B269" s="179"/>
      <c r="C269" s="37"/>
      <c r="D269" s="575" t="s">
        <v>258</v>
      </c>
      <c r="E269" s="575" t="s">
        <v>259</v>
      </c>
      <c r="F269" s="108">
        <v>15</v>
      </c>
      <c r="G269" s="36"/>
      <c r="J269" s="37"/>
      <c r="K269" s="69">
        <f>E280*2</f>
        <v>338</v>
      </c>
      <c r="L269" s="543"/>
    </row>
    <row r="270" spans="2:12" x14ac:dyDescent="0.25">
      <c r="B270" s="179"/>
      <c r="C270" s="37"/>
      <c r="D270" s="575" t="s">
        <v>260</v>
      </c>
      <c r="E270" s="575" t="s">
        <v>261</v>
      </c>
      <c r="F270" s="108">
        <v>18</v>
      </c>
      <c r="G270" s="36"/>
      <c r="K270" s="25"/>
      <c r="L270" s="544"/>
    </row>
    <row r="271" spans="2:12" x14ac:dyDescent="0.25">
      <c r="B271" s="179"/>
      <c r="C271" s="37"/>
      <c r="D271" s="575" t="s">
        <v>262</v>
      </c>
      <c r="E271" s="575" t="s">
        <v>263</v>
      </c>
      <c r="F271" s="108">
        <v>15</v>
      </c>
      <c r="G271" s="36"/>
      <c r="L271" s="544"/>
    </row>
    <row r="272" spans="2:12" x14ac:dyDescent="0.25">
      <c r="B272" s="179"/>
      <c r="C272" s="37"/>
      <c r="D272" s="575" t="s">
        <v>264</v>
      </c>
      <c r="E272" s="575" t="s">
        <v>265</v>
      </c>
      <c r="F272" s="108">
        <v>18</v>
      </c>
      <c r="G272" s="36"/>
      <c r="L272" s="544"/>
    </row>
    <row r="273" spans="2:12" x14ac:dyDescent="0.25">
      <c r="B273" s="179"/>
      <c r="C273" s="37"/>
      <c r="D273" s="575" t="s">
        <v>266</v>
      </c>
      <c r="E273" s="575" t="s">
        <v>267</v>
      </c>
      <c r="F273" s="108">
        <v>15</v>
      </c>
      <c r="G273" s="36"/>
      <c r="L273" s="544"/>
    </row>
    <row r="274" spans="2:12" x14ac:dyDescent="0.25">
      <c r="B274" s="179"/>
      <c r="C274" s="37"/>
      <c r="D274" s="575" t="s">
        <v>268</v>
      </c>
      <c r="E274" s="575" t="s">
        <v>269</v>
      </c>
      <c r="F274" s="108">
        <v>18</v>
      </c>
      <c r="G274" s="36"/>
      <c r="L274" s="544"/>
    </row>
    <row r="275" spans="2:12" x14ac:dyDescent="0.25">
      <c r="B275" s="179"/>
      <c r="C275" s="37"/>
      <c r="D275" s="575" t="s">
        <v>270</v>
      </c>
      <c r="E275" s="575" t="s">
        <v>271</v>
      </c>
      <c r="F275" s="108">
        <v>18</v>
      </c>
      <c r="G275" s="36"/>
      <c r="L275" s="544"/>
    </row>
    <row r="276" spans="2:12" x14ac:dyDescent="0.25">
      <c r="B276" s="179"/>
      <c r="C276" s="37"/>
      <c r="D276" s="575" t="s">
        <v>272</v>
      </c>
      <c r="E276" s="575" t="s">
        <v>273</v>
      </c>
      <c r="F276" s="108">
        <v>14.5</v>
      </c>
      <c r="G276" s="36"/>
      <c r="L276" s="544"/>
    </row>
    <row r="277" spans="2:12" x14ac:dyDescent="0.25">
      <c r="B277" s="179"/>
      <c r="C277" s="37"/>
      <c r="D277" s="575" t="s">
        <v>274</v>
      </c>
      <c r="E277" s="575" t="s">
        <v>275</v>
      </c>
      <c r="F277" s="108">
        <v>14.5</v>
      </c>
      <c r="G277" s="36"/>
      <c r="L277" s="544"/>
    </row>
    <row r="278" spans="2:12" x14ac:dyDescent="0.25">
      <c r="B278" s="179"/>
      <c r="C278" s="37"/>
      <c r="D278" s="575" t="s">
        <v>276</v>
      </c>
      <c r="E278" s="575" t="s">
        <v>277</v>
      </c>
      <c r="F278" s="108">
        <v>18</v>
      </c>
      <c r="G278" s="36"/>
      <c r="L278" s="544"/>
    </row>
    <row r="279" spans="2:12" x14ac:dyDescent="0.25">
      <c r="B279" s="179"/>
      <c r="C279" s="37"/>
      <c r="D279" s="575" t="s">
        <v>96</v>
      </c>
      <c r="E279" s="575" t="s">
        <v>278</v>
      </c>
      <c r="F279" s="108">
        <v>5</v>
      </c>
      <c r="G279" s="36"/>
      <c r="L279" s="544"/>
    </row>
    <row r="280" spans="2:12" ht="15.75" x14ac:dyDescent="0.25">
      <c r="B280" s="179"/>
      <c r="C280" s="37"/>
      <c r="D280" s="95" t="s">
        <v>217</v>
      </c>
      <c r="E280" s="1105">
        <f>SUM(F269:F279)</f>
        <v>169</v>
      </c>
      <c r="F280" s="1105"/>
      <c r="G280" s="36"/>
      <c r="L280" s="544"/>
    </row>
    <row r="281" spans="2:12" x14ac:dyDescent="0.25">
      <c r="B281" s="179"/>
      <c r="L281" s="544"/>
    </row>
    <row r="282" spans="2:12" ht="15.75" x14ac:dyDescent="0.25">
      <c r="B282" s="159"/>
      <c r="C282" s="586" t="s">
        <v>479</v>
      </c>
      <c r="D282" s="951" t="s">
        <v>480</v>
      </c>
      <c r="E282" s="951"/>
      <c r="F282" s="951"/>
      <c r="G282" s="951"/>
      <c r="H282" s="951"/>
      <c r="I282" s="951"/>
      <c r="J282" s="951"/>
      <c r="K282" s="40" t="s">
        <v>42</v>
      </c>
      <c r="L282" s="168">
        <f>H285</f>
        <v>96</v>
      </c>
    </row>
    <row r="283" spans="2:12" x14ac:dyDescent="0.25">
      <c r="B283" s="179"/>
      <c r="D283" s="47"/>
      <c r="E283" s="47"/>
      <c r="F283" s="54"/>
      <c r="H283" s="47"/>
      <c r="L283" s="544"/>
    </row>
    <row r="284" spans="2:12" x14ac:dyDescent="0.25">
      <c r="B284" s="179"/>
      <c r="C284" s="37"/>
      <c r="D284" s="578" t="s">
        <v>604</v>
      </c>
      <c r="E284" s="578" t="s">
        <v>42</v>
      </c>
      <c r="F284" s="578" t="s">
        <v>77</v>
      </c>
      <c r="G284" s="93"/>
      <c r="H284" s="578" t="s">
        <v>245</v>
      </c>
      <c r="I284" s="36"/>
      <c r="L284" s="544"/>
    </row>
    <row r="285" spans="2:12" x14ac:dyDescent="0.25">
      <c r="B285" s="179"/>
      <c r="C285" s="37"/>
      <c r="D285" s="68">
        <v>4</v>
      </c>
      <c r="E285" s="68">
        <v>12</v>
      </c>
      <c r="F285" s="68">
        <f>D285*E285</f>
        <v>48</v>
      </c>
      <c r="G285" s="93"/>
      <c r="H285" s="68">
        <f>F285*2</f>
        <v>96</v>
      </c>
      <c r="I285" s="36"/>
      <c r="L285" s="544"/>
    </row>
    <row r="286" spans="2:12" x14ac:dyDescent="0.25">
      <c r="B286" s="179"/>
      <c r="D286" s="25"/>
      <c r="E286" s="25"/>
      <c r="F286" s="34"/>
      <c r="H286" s="25"/>
      <c r="L286" s="544"/>
    </row>
    <row r="287" spans="2:12" ht="15.75" x14ac:dyDescent="0.25">
      <c r="B287" s="159"/>
      <c r="C287" s="586" t="s">
        <v>62</v>
      </c>
      <c r="D287" s="951" t="s">
        <v>63</v>
      </c>
      <c r="E287" s="951"/>
      <c r="F287" s="951"/>
      <c r="G287" s="951"/>
      <c r="H287" s="951"/>
      <c r="I287" s="951"/>
      <c r="J287" s="951"/>
      <c r="K287" s="40" t="s">
        <v>7</v>
      </c>
      <c r="L287" s="168">
        <f>K290</f>
        <v>2</v>
      </c>
    </row>
    <row r="288" spans="2:12" ht="15.75" x14ac:dyDescent="0.25">
      <c r="B288" s="636"/>
      <c r="C288" s="225"/>
      <c r="D288" s="226"/>
      <c r="E288" s="226"/>
      <c r="F288" s="225"/>
      <c r="G288" s="225"/>
      <c r="H288" s="225"/>
      <c r="I288" s="225"/>
      <c r="J288" s="225"/>
      <c r="K288" s="201"/>
      <c r="L288" s="544"/>
    </row>
    <row r="289" spans="2:12" ht="15.75" x14ac:dyDescent="0.25">
      <c r="B289" s="636"/>
      <c r="C289" s="227"/>
      <c r="D289" s="116" t="s">
        <v>106</v>
      </c>
      <c r="E289" s="116" t="s">
        <v>155</v>
      </c>
      <c r="F289" s="228"/>
      <c r="G289" s="225"/>
      <c r="H289" s="225"/>
      <c r="I289" s="225"/>
      <c r="J289" s="227"/>
      <c r="K289" s="579" t="s">
        <v>245</v>
      </c>
      <c r="L289" s="543"/>
    </row>
    <row r="290" spans="2:12" ht="15.75" x14ac:dyDescent="0.25">
      <c r="B290" s="636"/>
      <c r="C290" s="227"/>
      <c r="D290" s="116" t="s">
        <v>102</v>
      </c>
      <c r="E290" s="117">
        <v>1</v>
      </c>
      <c r="F290" s="228"/>
      <c r="G290" s="225"/>
      <c r="H290" s="225"/>
      <c r="I290" s="225"/>
      <c r="J290" s="227"/>
      <c r="K290" s="108">
        <f>E290*2</f>
        <v>2</v>
      </c>
      <c r="L290" s="543"/>
    </row>
    <row r="291" spans="2:12" ht="15.75" x14ac:dyDescent="0.25">
      <c r="B291" s="636"/>
      <c r="C291" s="225"/>
      <c r="D291" s="229"/>
      <c r="E291" s="229"/>
      <c r="F291" s="225"/>
      <c r="G291" s="225"/>
      <c r="H291" s="225"/>
      <c r="I291" s="225"/>
      <c r="J291" s="225"/>
      <c r="K291" s="204"/>
      <c r="L291" s="544"/>
    </row>
    <row r="292" spans="2:12" ht="15.75" x14ac:dyDescent="0.25">
      <c r="B292" s="159"/>
      <c r="C292" s="586" t="s">
        <v>64</v>
      </c>
      <c r="D292" s="951" t="s">
        <v>65</v>
      </c>
      <c r="E292" s="951"/>
      <c r="F292" s="951"/>
      <c r="G292" s="951"/>
      <c r="H292" s="951"/>
      <c r="I292" s="951"/>
      <c r="J292" s="951"/>
      <c r="K292" s="40" t="s">
        <v>7</v>
      </c>
      <c r="L292" s="168">
        <f>K295</f>
        <v>2</v>
      </c>
    </row>
    <row r="293" spans="2:12" ht="15.75" x14ac:dyDescent="0.25">
      <c r="B293" s="636"/>
      <c r="C293" s="230"/>
      <c r="D293" s="231"/>
      <c r="E293" s="231"/>
      <c r="F293" s="230"/>
      <c r="G293" s="230"/>
      <c r="H293" s="230"/>
      <c r="I293" s="230"/>
      <c r="J293" s="230"/>
      <c r="K293" s="201"/>
      <c r="L293" s="544"/>
    </row>
    <row r="294" spans="2:12" ht="15.75" x14ac:dyDescent="0.25">
      <c r="B294" s="636"/>
      <c r="C294" s="232"/>
      <c r="D294" s="122" t="s">
        <v>106</v>
      </c>
      <c r="E294" s="122" t="s">
        <v>155</v>
      </c>
      <c r="F294" s="233"/>
      <c r="G294" s="230"/>
      <c r="H294" s="230"/>
      <c r="I294" s="230"/>
      <c r="J294" s="232"/>
      <c r="K294" s="579" t="s">
        <v>245</v>
      </c>
      <c r="L294" s="543"/>
    </row>
    <row r="295" spans="2:12" ht="15.75" x14ac:dyDescent="0.25">
      <c r="B295" s="636"/>
      <c r="C295" s="232"/>
      <c r="D295" s="122" t="s">
        <v>101</v>
      </c>
      <c r="E295" s="123">
        <v>1</v>
      </c>
      <c r="F295" s="233"/>
      <c r="G295" s="230"/>
      <c r="H295" s="230"/>
      <c r="I295" s="230"/>
      <c r="J295" s="232"/>
      <c r="K295" s="108">
        <f>E295*2</f>
        <v>2</v>
      </c>
      <c r="L295" s="543"/>
    </row>
    <row r="296" spans="2:12" ht="15.75" x14ac:dyDescent="0.25">
      <c r="B296" s="637"/>
      <c r="C296" s="231"/>
      <c r="D296" s="534"/>
      <c r="E296" s="534"/>
      <c r="F296" s="231"/>
      <c r="G296" s="231"/>
      <c r="H296" s="231"/>
      <c r="I296" s="231"/>
      <c r="J296" s="231"/>
      <c r="K296" s="535"/>
      <c r="L296" s="638"/>
    </row>
    <row r="297" spans="2:12" x14ac:dyDescent="0.25">
      <c r="B297" s="537"/>
      <c r="C297" s="383" t="s">
        <v>740</v>
      </c>
      <c r="D297" s="1102" t="s">
        <v>741</v>
      </c>
      <c r="E297" s="1102"/>
      <c r="F297" s="1102"/>
      <c r="G297" s="1102"/>
      <c r="H297" s="1102"/>
      <c r="I297" s="1102"/>
      <c r="J297" s="1102"/>
      <c r="K297" s="539" t="s">
        <v>5</v>
      </c>
      <c r="L297" s="541">
        <f>K300</f>
        <v>720.59999999999991</v>
      </c>
    </row>
    <row r="298" spans="2:12" x14ac:dyDescent="0.25">
      <c r="B298" s="189"/>
      <c r="C298" s="25"/>
      <c r="D298" s="25"/>
      <c r="E298" s="25"/>
      <c r="F298" s="34"/>
      <c r="G298" s="25"/>
      <c r="H298" s="25"/>
      <c r="I298" s="25"/>
      <c r="J298" s="25"/>
      <c r="K298" s="538"/>
      <c r="L298" s="542"/>
    </row>
    <row r="299" spans="2:12" x14ac:dyDescent="0.25">
      <c r="B299" s="179"/>
      <c r="D299" s="47"/>
      <c r="E299" s="47"/>
      <c r="J299" s="37"/>
      <c r="K299" s="529" t="s">
        <v>245</v>
      </c>
      <c r="L299" s="543"/>
    </row>
    <row r="300" spans="2:12" x14ac:dyDescent="0.25">
      <c r="B300" s="179"/>
      <c r="C300" s="37"/>
      <c r="D300" s="588" t="s">
        <v>106</v>
      </c>
      <c r="E300" s="588" t="s">
        <v>218</v>
      </c>
      <c r="F300" s="38"/>
      <c r="J300" s="37"/>
      <c r="K300" s="529">
        <f>E319*2</f>
        <v>720.59999999999991</v>
      </c>
      <c r="L300" s="543"/>
    </row>
    <row r="301" spans="2:12" x14ac:dyDescent="0.25">
      <c r="B301" s="179"/>
      <c r="C301" s="37"/>
      <c r="D301" s="531" t="s">
        <v>84</v>
      </c>
      <c r="E301" s="582">
        <f>2.4*2</f>
        <v>4.8</v>
      </c>
      <c r="F301" s="38"/>
      <c r="K301" s="530"/>
      <c r="L301" s="544"/>
    </row>
    <row r="302" spans="2:12" x14ac:dyDescent="0.25">
      <c r="B302" s="179"/>
      <c r="C302" s="37"/>
      <c r="D302" s="532" t="s">
        <v>86</v>
      </c>
      <c r="E302" s="582">
        <f>5.8*2</f>
        <v>11.6</v>
      </c>
      <c r="F302" s="38"/>
      <c r="L302" s="544"/>
    </row>
    <row r="303" spans="2:12" x14ac:dyDescent="0.25">
      <c r="B303" s="179"/>
      <c r="C303" s="37"/>
      <c r="D303" s="532" t="s">
        <v>87</v>
      </c>
      <c r="E303" s="582">
        <f t="shared" ref="E303:E311" si="6">5.8*2</f>
        <v>11.6</v>
      </c>
      <c r="F303" s="38"/>
      <c r="L303" s="544"/>
    </row>
    <row r="304" spans="2:12" x14ac:dyDescent="0.25">
      <c r="B304" s="179"/>
      <c r="C304" s="37"/>
      <c r="D304" s="532" t="s">
        <v>88</v>
      </c>
      <c r="E304" s="582">
        <f t="shared" si="6"/>
        <v>11.6</v>
      </c>
      <c r="F304" s="38"/>
      <c r="L304" s="544"/>
    </row>
    <row r="305" spans="2:12" x14ac:dyDescent="0.25">
      <c r="B305" s="179"/>
      <c r="C305" s="37"/>
      <c r="D305" s="532" t="s">
        <v>89</v>
      </c>
      <c r="E305" s="582">
        <f t="shared" si="6"/>
        <v>11.6</v>
      </c>
      <c r="F305" s="38"/>
      <c r="L305" s="544"/>
    </row>
    <row r="306" spans="2:12" x14ac:dyDescent="0.25">
      <c r="B306" s="179"/>
      <c r="C306" s="37"/>
      <c r="D306" s="532" t="s">
        <v>90</v>
      </c>
      <c r="E306" s="582">
        <f t="shared" si="6"/>
        <v>11.6</v>
      </c>
      <c r="F306" s="38"/>
      <c r="L306" s="544"/>
    </row>
    <row r="307" spans="2:12" x14ac:dyDescent="0.25">
      <c r="B307" s="179"/>
      <c r="C307" s="37"/>
      <c r="D307" s="532" t="s">
        <v>91</v>
      </c>
      <c r="E307" s="582">
        <f t="shared" si="6"/>
        <v>11.6</v>
      </c>
      <c r="F307" s="38"/>
      <c r="L307" s="544"/>
    </row>
    <row r="308" spans="2:12" x14ac:dyDescent="0.25">
      <c r="B308" s="179"/>
      <c r="C308" s="37"/>
      <c r="D308" s="532" t="s">
        <v>92</v>
      </c>
      <c r="E308" s="582">
        <f t="shared" si="6"/>
        <v>11.6</v>
      </c>
      <c r="F308" s="38"/>
      <c r="L308" s="544"/>
    </row>
    <row r="309" spans="2:12" x14ac:dyDescent="0.25">
      <c r="B309" s="179"/>
      <c r="C309" s="37"/>
      <c r="D309" s="532" t="s">
        <v>93</v>
      </c>
      <c r="E309" s="582">
        <f t="shared" si="6"/>
        <v>11.6</v>
      </c>
      <c r="F309" s="38"/>
      <c r="L309" s="544"/>
    </row>
    <row r="310" spans="2:12" x14ac:dyDescent="0.25">
      <c r="B310" s="179"/>
      <c r="C310" s="37"/>
      <c r="D310" s="532" t="s">
        <v>94</v>
      </c>
      <c r="E310" s="582">
        <f t="shared" si="6"/>
        <v>11.6</v>
      </c>
      <c r="F310" s="38"/>
      <c r="L310" s="544"/>
    </row>
    <row r="311" spans="2:12" x14ac:dyDescent="0.25">
      <c r="B311" s="179"/>
      <c r="C311" s="37"/>
      <c r="D311" s="532" t="s">
        <v>95</v>
      </c>
      <c r="E311" s="582">
        <f t="shared" si="6"/>
        <v>11.6</v>
      </c>
      <c r="F311" s="38"/>
      <c r="L311" s="544"/>
    </row>
    <row r="312" spans="2:12" x14ac:dyDescent="0.25">
      <c r="B312" s="179"/>
      <c r="C312" s="37"/>
      <c r="D312" s="532" t="s">
        <v>96</v>
      </c>
      <c r="E312" s="582">
        <f>1.2*2</f>
        <v>2.4</v>
      </c>
      <c r="F312" s="38"/>
      <c r="L312" s="544"/>
    </row>
    <row r="313" spans="2:12" x14ac:dyDescent="0.25">
      <c r="B313" s="179"/>
      <c r="C313" s="37"/>
      <c r="D313" s="533" t="s">
        <v>98</v>
      </c>
      <c r="E313" s="582">
        <f>1.2*1</f>
        <v>1.2</v>
      </c>
      <c r="F313" s="38"/>
      <c r="L313" s="544"/>
    </row>
    <row r="314" spans="2:12" x14ac:dyDescent="0.25">
      <c r="B314" s="179"/>
      <c r="C314" s="37"/>
      <c r="D314" s="532" t="s">
        <v>99</v>
      </c>
      <c r="E314" s="582">
        <f>1.8*1</f>
        <v>1.8</v>
      </c>
      <c r="F314" s="38"/>
      <c r="L314" s="544"/>
    </row>
    <row r="315" spans="2:12" x14ac:dyDescent="0.25">
      <c r="B315" s="179"/>
      <c r="C315" s="37"/>
      <c r="D315" s="532" t="s">
        <v>100</v>
      </c>
      <c r="E315" s="582">
        <f>0.9*0.5</f>
        <v>0.45</v>
      </c>
      <c r="F315" s="38"/>
      <c r="L315" s="544"/>
    </row>
    <row r="316" spans="2:12" x14ac:dyDescent="0.25">
      <c r="B316" s="179"/>
      <c r="C316" s="37"/>
      <c r="D316" s="532" t="s">
        <v>104</v>
      </c>
      <c r="E316" s="582">
        <f>(0.9*1)*2</f>
        <v>1.8</v>
      </c>
      <c r="F316" s="38"/>
      <c r="L316" s="544"/>
    </row>
    <row r="317" spans="2:12" x14ac:dyDescent="0.25">
      <c r="B317" s="179"/>
      <c r="C317" s="37"/>
      <c r="D317" s="532" t="s">
        <v>720</v>
      </c>
      <c r="E317" s="582">
        <f>(0.5*2.8)*10</f>
        <v>14</v>
      </c>
      <c r="F317" s="38"/>
      <c r="L317" s="544"/>
    </row>
    <row r="318" spans="2:12" x14ac:dyDescent="0.25">
      <c r="B318" s="179"/>
      <c r="C318" s="37"/>
      <c r="D318" s="532" t="s">
        <v>103</v>
      </c>
      <c r="E318" s="582">
        <v>37.700000000000003</v>
      </c>
      <c r="F318" s="38"/>
      <c r="L318" s="544"/>
    </row>
    <row r="319" spans="2:12" x14ac:dyDescent="0.25">
      <c r="B319" s="179"/>
      <c r="C319" s="37"/>
      <c r="D319" s="588" t="s">
        <v>721</v>
      </c>
      <c r="E319" s="582">
        <f>SUM(E301:E318)*2</f>
        <v>360.29999999999995</v>
      </c>
      <c r="F319" s="38"/>
      <c r="L319" s="544"/>
    </row>
    <row r="320" spans="2:12" x14ac:dyDescent="0.25">
      <c r="B320" s="299"/>
      <c r="C320" s="47"/>
      <c r="D320" s="25"/>
      <c r="E320" s="25"/>
      <c r="L320" s="544"/>
    </row>
    <row r="321" spans="2:12" x14ac:dyDescent="0.25">
      <c r="B321" s="639"/>
      <c r="C321" s="383" t="s">
        <v>742</v>
      </c>
      <c r="D321" s="1101" t="s">
        <v>743</v>
      </c>
      <c r="E321" s="1102"/>
      <c r="F321" s="1102"/>
      <c r="G321" s="1102"/>
      <c r="H321" s="1102"/>
      <c r="I321" s="1102"/>
      <c r="J321" s="1102"/>
      <c r="K321" s="520" t="s">
        <v>5</v>
      </c>
      <c r="L321" s="640">
        <f>K325</f>
        <v>720.59999999999991</v>
      </c>
    </row>
    <row r="322" spans="2:12" x14ac:dyDescent="0.25">
      <c r="B322" s="189"/>
      <c r="C322" s="25"/>
      <c r="D322" s="47"/>
      <c r="E322" s="47"/>
      <c r="L322" s="544"/>
    </row>
    <row r="323" spans="2:12" x14ac:dyDescent="0.25">
      <c r="B323" s="179"/>
      <c r="C323" s="37"/>
      <c r="D323" s="588" t="s">
        <v>106</v>
      </c>
      <c r="E323" s="588" t="s">
        <v>218</v>
      </c>
      <c r="F323" s="38"/>
      <c r="K323" s="47"/>
      <c r="L323" s="544"/>
    </row>
    <row r="324" spans="2:12" x14ac:dyDescent="0.25">
      <c r="B324" s="179"/>
      <c r="C324" s="37"/>
      <c r="D324" s="531" t="s">
        <v>84</v>
      </c>
      <c r="E324" s="582">
        <f>2.4*2</f>
        <v>4.8</v>
      </c>
      <c r="F324" s="38"/>
      <c r="J324" s="37"/>
      <c r="K324" s="529" t="s">
        <v>765</v>
      </c>
      <c r="L324" s="543"/>
    </row>
    <row r="325" spans="2:12" x14ac:dyDescent="0.25">
      <c r="B325" s="179"/>
      <c r="C325" s="37"/>
      <c r="D325" s="532" t="s">
        <v>86</v>
      </c>
      <c r="E325" s="582">
        <f>5.8*2</f>
        <v>11.6</v>
      </c>
      <c r="F325" s="38"/>
      <c r="J325" s="37"/>
      <c r="K325" s="529">
        <f>E342*2</f>
        <v>720.59999999999991</v>
      </c>
      <c r="L325" s="543"/>
    </row>
    <row r="326" spans="2:12" x14ac:dyDescent="0.25">
      <c r="B326" s="179"/>
      <c r="C326" s="37"/>
      <c r="D326" s="532" t="s">
        <v>87</v>
      </c>
      <c r="E326" s="582">
        <f t="shared" ref="E326:E334" si="7">5.8*2</f>
        <v>11.6</v>
      </c>
      <c r="F326" s="38"/>
      <c r="K326" s="25"/>
      <c r="L326" s="544"/>
    </row>
    <row r="327" spans="2:12" x14ac:dyDescent="0.25">
      <c r="B327" s="179"/>
      <c r="C327" s="37"/>
      <c r="D327" s="532" t="s">
        <v>88</v>
      </c>
      <c r="E327" s="582">
        <f t="shared" si="7"/>
        <v>11.6</v>
      </c>
      <c r="F327" s="38"/>
      <c r="L327" s="544"/>
    </row>
    <row r="328" spans="2:12" x14ac:dyDescent="0.25">
      <c r="B328" s="179"/>
      <c r="C328" s="37"/>
      <c r="D328" s="532" t="s">
        <v>89</v>
      </c>
      <c r="E328" s="582">
        <f t="shared" si="7"/>
        <v>11.6</v>
      </c>
      <c r="F328" s="38"/>
      <c r="L328" s="544"/>
    </row>
    <row r="329" spans="2:12" x14ac:dyDescent="0.25">
      <c r="B329" s="179"/>
      <c r="C329" s="37"/>
      <c r="D329" s="532" t="s">
        <v>90</v>
      </c>
      <c r="E329" s="582">
        <f t="shared" si="7"/>
        <v>11.6</v>
      </c>
      <c r="F329" s="38"/>
      <c r="L329" s="544"/>
    </row>
    <row r="330" spans="2:12" x14ac:dyDescent="0.25">
      <c r="B330" s="179"/>
      <c r="C330" s="37"/>
      <c r="D330" s="532" t="s">
        <v>91</v>
      </c>
      <c r="E330" s="582">
        <f t="shared" si="7"/>
        <v>11.6</v>
      </c>
      <c r="F330" s="38"/>
      <c r="L330" s="544"/>
    </row>
    <row r="331" spans="2:12" x14ac:dyDescent="0.25">
      <c r="B331" s="179"/>
      <c r="C331" s="37"/>
      <c r="D331" s="532" t="s">
        <v>92</v>
      </c>
      <c r="E331" s="582">
        <f t="shared" si="7"/>
        <v>11.6</v>
      </c>
      <c r="F331" s="38"/>
      <c r="L331" s="544"/>
    </row>
    <row r="332" spans="2:12" x14ac:dyDescent="0.25">
      <c r="B332" s="179"/>
      <c r="C332" s="37"/>
      <c r="D332" s="532" t="s">
        <v>93</v>
      </c>
      <c r="E332" s="582">
        <f t="shared" si="7"/>
        <v>11.6</v>
      </c>
      <c r="F332" s="38"/>
      <c r="L332" s="544"/>
    </row>
    <row r="333" spans="2:12" x14ac:dyDescent="0.25">
      <c r="B333" s="179"/>
      <c r="C333" s="37"/>
      <c r="D333" s="532" t="s">
        <v>94</v>
      </c>
      <c r="E333" s="582">
        <f t="shared" si="7"/>
        <v>11.6</v>
      </c>
      <c r="F333" s="38"/>
      <c r="L333" s="544"/>
    </row>
    <row r="334" spans="2:12" x14ac:dyDescent="0.25">
      <c r="B334" s="179"/>
      <c r="C334" s="37"/>
      <c r="D334" s="532" t="s">
        <v>95</v>
      </c>
      <c r="E334" s="582">
        <f t="shared" si="7"/>
        <v>11.6</v>
      </c>
      <c r="F334" s="38"/>
      <c r="L334" s="544"/>
    </row>
    <row r="335" spans="2:12" x14ac:dyDescent="0.25">
      <c r="B335" s="179"/>
      <c r="C335" s="37"/>
      <c r="D335" s="532" t="s">
        <v>96</v>
      </c>
      <c r="E335" s="582">
        <f>1.2*2</f>
        <v>2.4</v>
      </c>
      <c r="F335" s="38"/>
      <c r="L335" s="544"/>
    </row>
    <row r="336" spans="2:12" x14ac:dyDescent="0.25">
      <c r="B336" s="179"/>
      <c r="C336" s="37"/>
      <c r="D336" s="533" t="s">
        <v>98</v>
      </c>
      <c r="E336" s="582">
        <f>1.2*1</f>
        <v>1.2</v>
      </c>
      <c r="F336" s="38"/>
      <c r="L336" s="544"/>
    </row>
    <row r="337" spans="2:12" x14ac:dyDescent="0.25">
      <c r="B337" s="179"/>
      <c r="C337" s="37"/>
      <c r="D337" s="532" t="s">
        <v>99</v>
      </c>
      <c r="E337" s="582">
        <f>1.8*1</f>
        <v>1.8</v>
      </c>
      <c r="F337" s="38"/>
      <c r="L337" s="544"/>
    </row>
    <row r="338" spans="2:12" x14ac:dyDescent="0.25">
      <c r="B338" s="179"/>
      <c r="C338" s="37"/>
      <c r="D338" s="532" t="s">
        <v>100</v>
      </c>
      <c r="E338" s="582">
        <f>0.9*0.5</f>
        <v>0.45</v>
      </c>
      <c r="F338" s="38"/>
      <c r="L338" s="544"/>
    </row>
    <row r="339" spans="2:12" x14ac:dyDescent="0.25">
      <c r="B339" s="179"/>
      <c r="C339" s="37"/>
      <c r="D339" s="532" t="s">
        <v>104</v>
      </c>
      <c r="E339" s="582">
        <f>(0.9*1)*2</f>
        <v>1.8</v>
      </c>
      <c r="F339" s="38"/>
      <c r="L339" s="544"/>
    </row>
    <row r="340" spans="2:12" x14ac:dyDescent="0.25">
      <c r="B340" s="179"/>
      <c r="C340" s="37"/>
      <c r="D340" s="532" t="s">
        <v>720</v>
      </c>
      <c r="E340" s="582">
        <f>(0.5*2.8)*10</f>
        <v>14</v>
      </c>
      <c r="F340" s="38"/>
      <c r="L340" s="544"/>
    </row>
    <row r="341" spans="2:12" x14ac:dyDescent="0.25">
      <c r="B341" s="179"/>
      <c r="C341" s="37"/>
      <c r="D341" s="532" t="s">
        <v>103</v>
      </c>
      <c r="E341" s="582">
        <v>37.700000000000003</v>
      </c>
      <c r="F341" s="38"/>
      <c r="L341" s="544"/>
    </row>
    <row r="342" spans="2:12" x14ac:dyDescent="0.25">
      <c r="B342" s="179"/>
      <c r="C342" s="37"/>
      <c r="D342" s="588" t="s">
        <v>721</v>
      </c>
      <c r="E342" s="582">
        <f>SUM(E324:E341)*2</f>
        <v>360.29999999999995</v>
      </c>
      <c r="F342" s="38"/>
      <c r="L342" s="544"/>
    </row>
    <row r="343" spans="2:12" x14ac:dyDescent="0.25">
      <c r="B343" s="299"/>
      <c r="C343" s="47"/>
      <c r="D343" s="25"/>
      <c r="E343" s="25"/>
      <c r="K343" s="47"/>
      <c r="L343" s="632"/>
    </row>
    <row r="344" spans="2:12" x14ac:dyDescent="0.25">
      <c r="B344" s="639"/>
      <c r="C344" s="383" t="s">
        <v>50</v>
      </c>
      <c r="D344" s="1099" t="s">
        <v>736</v>
      </c>
      <c r="E344" s="1099"/>
      <c r="F344" s="1099"/>
      <c r="G344" s="1099"/>
      <c r="H344" s="1099"/>
      <c r="I344" s="1099"/>
      <c r="J344" s="1099"/>
      <c r="K344" s="520" t="s">
        <v>7</v>
      </c>
      <c r="L344" s="640">
        <f>K347</f>
        <v>4</v>
      </c>
    </row>
    <row r="345" spans="2:12" x14ac:dyDescent="0.25">
      <c r="B345" s="189"/>
      <c r="C345" s="25"/>
      <c r="D345" s="47"/>
      <c r="E345" s="47"/>
      <c r="K345" s="39"/>
      <c r="L345" s="542"/>
    </row>
    <row r="346" spans="2:12" x14ac:dyDescent="0.25">
      <c r="B346" s="179"/>
      <c r="C346" s="37"/>
      <c r="D346" s="529" t="s">
        <v>106</v>
      </c>
      <c r="E346" s="529" t="s">
        <v>769</v>
      </c>
      <c r="F346" s="38"/>
      <c r="J346" s="37"/>
      <c r="K346" s="529" t="s">
        <v>765</v>
      </c>
      <c r="L346" s="543"/>
    </row>
    <row r="347" spans="2:12" x14ac:dyDescent="0.25">
      <c r="B347" s="179"/>
      <c r="C347" s="37"/>
      <c r="D347" s="555" t="s">
        <v>96</v>
      </c>
      <c r="E347" s="529">
        <v>2</v>
      </c>
      <c r="F347" s="38"/>
      <c r="J347" s="37"/>
      <c r="K347" s="529">
        <f>E348*2</f>
        <v>4</v>
      </c>
      <c r="L347" s="543"/>
    </row>
    <row r="348" spans="2:12" x14ac:dyDescent="0.25">
      <c r="B348" s="179"/>
      <c r="C348" s="37"/>
      <c r="D348" s="529" t="s">
        <v>217</v>
      </c>
      <c r="E348" s="529">
        <f>E347</f>
        <v>2</v>
      </c>
      <c r="F348" s="38"/>
      <c r="K348" s="25"/>
      <c r="L348" s="544"/>
    </row>
    <row r="349" spans="2:12" x14ac:dyDescent="0.25">
      <c r="B349" s="299"/>
      <c r="D349" s="25"/>
      <c r="E349" s="25"/>
      <c r="K349" s="47"/>
      <c r="L349" s="544"/>
    </row>
    <row r="350" spans="2:12" x14ac:dyDescent="0.25">
      <c r="B350" s="639"/>
      <c r="C350" s="383" t="s">
        <v>50</v>
      </c>
      <c r="D350" s="1098" t="s">
        <v>752</v>
      </c>
      <c r="E350" s="1099"/>
      <c r="F350" s="1099"/>
      <c r="G350" s="1099"/>
      <c r="H350" s="1099"/>
      <c r="I350" s="1099"/>
      <c r="J350" s="1099"/>
      <c r="K350" s="520" t="s">
        <v>7</v>
      </c>
      <c r="L350" s="641">
        <v>8</v>
      </c>
    </row>
    <row r="351" spans="2:12" x14ac:dyDescent="0.25">
      <c r="B351" s="189"/>
      <c r="D351" s="47"/>
      <c r="E351" s="47"/>
      <c r="K351" s="39"/>
      <c r="L351" s="544"/>
    </row>
    <row r="352" spans="2:12" x14ac:dyDescent="0.25">
      <c r="B352" s="179"/>
      <c r="C352" s="37"/>
      <c r="D352" s="529" t="s">
        <v>106</v>
      </c>
      <c r="E352" s="529" t="s">
        <v>78</v>
      </c>
      <c r="F352" s="38"/>
      <c r="J352" s="37"/>
      <c r="K352" s="529" t="s">
        <v>765</v>
      </c>
      <c r="L352" s="543"/>
    </row>
    <row r="353" spans="2:12" x14ac:dyDescent="0.25">
      <c r="B353" s="179"/>
      <c r="C353" s="37"/>
      <c r="D353" s="555" t="s">
        <v>96</v>
      </c>
      <c r="E353" s="529">
        <v>4</v>
      </c>
      <c r="F353" s="38"/>
      <c r="J353" s="37"/>
      <c r="K353" s="529">
        <f>E354*2</f>
        <v>8</v>
      </c>
      <c r="L353" s="543"/>
    </row>
    <row r="354" spans="2:12" x14ac:dyDescent="0.25">
      <c r="B354" s="179"/>
      <c r="C354" s="37"/>
      <c r="D354" s="529" t="s">
        <v>217</v>
      </c>
      <c r="E354" s="529">
        <f>E353</f>
        <v>4</v>
      </c>
      <c r="F354" s="38"/>
      <c r="K354" s="25"/>
      <c r="L354" s="544"/>
    </row>
    <row r="355" spans="2:12" x14ac:dyDescent="0.25">
      <c r="B355" s="299"/>
      <c r="D355" s="25"/>
      <c r="E355" s="25"/>
      <c r="L355" s="632"/>
    </row>
    <row r="356" spans="2:12" ht="15.75" x14ac:dyDescent="0.25">
      <c r="B356" s="639"/>
      <c r="C356" s="605" t="s">
        <v>744</v>
      </c>
      <c r="D356" s="1098" t="s">
        <v>745</v>
      </c>
      <c r="E356" s="1099"/>
      <c r="F356" s="1099"/>
      <c r="G356" s="1099"/>
      <c r="H356" s="1099"/>
      <c r="I356" s="1099"/>
      <c r="J356" s="1100"/>
      <c r="K356" s="606" t="s">
        <v>746</v>
      </c>
      <c r="L356" s="560">
        <f>K359</f>
        <v>80</v>
      </c>
    </row>
    <row r="357" spans="2:12" x14ac:dyDescent="0.25">
      <c r="B357" s="189"/>
      <c r="D357" s="47"/>
      <c r="E357" s="47"/>
      <c r="F357" s="54"/>
      <c r="K357" s="47"/>
      <c r="L357" s="542"/>
    </row>
    <row r="358" spans="2:12" x14ac:dyDescent="0.25">
      <c r="B358" s="179"/>
      <c r="C358" s="37"/>
      <c r="D358" s="529" t="s">
        <v>766</v>
      </c>
      <c r="E358" s="529" t="s">
        <v>768</v>
      </c>
      <c r="F358" s="557" t="s">
        <v>769</v>
      </c>
      <c r="G358" s="36"/>
      <c r="J358" s="37"/>
      <c r="K358" s="529" t="s">
        <v>765</v>
      </c>
      <c r="L358" s="543"/>
    </row>
    <row r="359" spans="2:12" x14ac:dyDescent="0.25">
      <c r="B359" s="179"/>
      <c r="C359" s="37"/>
      <c r="D359" s="555" t="s">
        <v>767</v>
      </c>
      <c r="E359" s="529">
        <v>40</v>
      </c>
      <c r="F359" s="558">
        <v>1</v>
      </c>
      <c r="G359" s="36"/>
      <c r="J359" s="37"/>
      <c r="K359" s="529">
        <f>E360*2</f>
        <v>80</v>
      </c>
      <c r="L359" s="543"/>
    </row>
    <row r="360" spans="2:12" x14ac:dyDescent="0.25">
      <c r="B360" s="179"/>
      <c r="C360" s="37"/>
      <c r="D360" s="529" t="s">
        <v>217</v>
      </c>
      <c r="E360" s="1094">
        <f>E359*F359</f>
        <v>40</v>
      </c>
      <c r="F360" s="1094"/>
      <c r="G360" s="36"/>
      <c r="K360" s="25"/>
      <c r="L360" s="544"/>
    </row>
    <row r="361" spans="2:12" x14ac:dyDescent="0.25">
      <c r="B361" s="299"/>
      <c r="D361" s="25"/>
      <c r="E361" s="25"/>
      <c r="F361" s="34"/>
      <c r="L361" s="632"/>
    </row>
    <row r="362" spans="2:12" x14ac:dyDescent="0.25">
      <c r="B362" s="639"/>
      <c r="C362" s="383" t="s">
        <v>747</v>
      </c>
      <c r="D362" s="1098" t="s">
        <v>748</v>
      </c>
      <c r="E362" s="1099"/>
      <c r="F362" s="1099"/>
      <c r="G362" s="1099"/>
      <c r="H362" s="1099"/>
      <c r="I362" s="1099"/>
      <c r="J362" s="1100"/>
      <c r="K362" s="364" t="s">
        <v>7</v>
      </c>
      <c r="L362" s="560">
        <f>K365</f>
        <v>4</v>
      </c>
    </row>
    <row r="363" spans="2:12" x14ac:dyDescent="0.25">
      <c r="B363" s="189"/>
      <c r="D363" s="47"/>
      <c r="E363" s="47"/>
      <c r="K363" s="47"/>
      <c r="L363" s="542"/>
    </row>
    <row r="364" spans="2:12" x14ac:dyDescent="0.25">
      <c r="B364" s="179"/>
      <c r="C364" s="37"/>
      <c r="D364" s="529" t="s">
        <v>106</v>
      </c>
      <c r="E364" s="529" t="s">
        <v>770</v>
      </c>
      <c r="F364" s="38"/>
      <c r="J364" s="37"/>
      <c r="K364" s="529" t="s">
        <v>765</v>
      </c>
      <c r="L364" s="543"/>
    </row>
    <row r="365" spans="2:12" x14ac:dyDescent="0.25">
      <c r="B365" s="179"/>
      <c r="C365" s="37"/>
      <c r="D365" s="555" t="s">
        <v>96</v>
      </c>
      <c r="E365" s="529">
        <v>2</v>
      </c>
      <c r="F365" s="38"/>
      <c r="J365" s="37"/>
      <c r="K365" s="529">
        <f>E366*2</f>
        <v>4</v>
      </c>
      <c r="L365" s="543"/>
    </row>
    <row r="366" spans="2:12" x14ac:dyDescent="0.25">
      <c r="B366" s="179"/>
      <c r="C366" s="37"/>
      <c r="D366" s="529" t="s">
        <v>217</v>
      </c>
      <c r="E366" s="529">
        <f>E365</f>
        <v>2</v>
      </c>
      <c r="F366" s="38"/>
      <c r="K366" s="25"/>
      <c r="L366" s="544"/>
    </row>
    <row r="367" spans="2:12" x14ac:dyDescent="0.25">
      <c r="B367" s="299"/>
      <c r="D367" s="25"/>
      <c r="E367" s="25"/>
      <c r="L367" s="632"/>
    </row>
    <row r="368" spans="2:12" ht="15.75" x14ac:dyDescent="0.25">
      <c r="B368" s="639"/>
      <c r="C368" s="346" t="s">
        <v>749</v>
      </c>
      <c r="D368" s="1098" t="s">
        <v>750</v>
      </c>
      <c r="E368" s="1099"/>
      <c r="F368" s="1099"/>
      <c r="G368" s="1099"/>
      <c r="H368" s="1099"/>
      <c r="I368" s="1099"/>
      <c r="J368" s="1100"/>
      <c r="K368" s="611" t="s">
        <v>8</v>
      </c>
      <c r="L368" s="560">
        <f>K371</f>
        <v>60</v>
      </c>
    </row>
    <row r="369" spans="2:12" x14ac:dyDescent="0.25">
      <c r="B369" s="189"/>
      <c r="D369" s="47"/>
      <c r="E369" s="47"/>
      <c r="F369" s="54"/>
      <c r="K369" s="47"/>
      <c r="L369" s="542"/>
    </row>
    <row r="370" spans="2:12" x14ac:dyDescent="0.25">
      <c r="B370" s="179"/>
      <c r="C370" s="37"/>
      <c r="D370" s="529" t="s">
        <v>106</v>
      </c>
      <c r="E370" s="529" t="s">
        <v>771</v>
      </c>
      <c r="F370" s="557" t="s">
        <v>773</v>
      </c>
      <c r="G370" s="36"/>
      <c r="J370" s="37"/>
      <c r="K370" s="529" t="s">
        <v>765</v>
      </c>
      <c r="L370" s="543"/>
    </row>
    <row r="371" spans="2:12" x14ac:dyDescent="0.25">
      <c r="B371" s="179"/>
      <c r="C371" s="37"/>
      <c r="D371" s="555" t="s">
        <v>772</v>
      </c>
      <c r="E371" s="529">
        <f>15</f>
        <v>15</v>
      </c>
      <c r="F371" s="557">
        <v>2</v>
      </c>
      <c r="G371" s="36"/>
      <c r="J371" s="37"/>
      <c r="K371" s="529">
        <f>E372*2</f>
        <v>60</v>
      </c>
      <c r="L371" s="543"/>
    </row>
    <row r="372" spans="2:12" x14ac:dyDescent="0.25">
      <c r="B372" s="179"/>
      <c r="C372" s="37"/>
      <c r="D372" s="529" t="s">
        <v>217</v>
      </c>
      <c r="E372" s="1094">
        <f>E371*F371</f>
        <v>30</v>
      </c>
      <c r="F372" s="1094"/>
      <c r="G372" s="36"/>
      <c r="K372" s="25"/>
      <c r="L372" s="544"/>
    </row>
    <row r="373" spans="2:12" x14ac:dyDescent="0.25">
      <c r="B373" s="299"/>
      <c r="D373" s="25"/>
      <c r="E373" s="25"/>
      <c r="F373" s="34"/>
      <c r="L373" s="632"/>
    </row>
    <row r="374" spans="2:12" x14ac:dyDescent="0.25">
      <c r="B374" s="639"/>
      <c r="C374" s="601">
        <v>39848</v>
      </c>
      <c r="D374" s="1095" t="s">
        <v>751</v>
      </c>
      <c r="E374" s="1096"/>
      <c r="F374" s="1096"/>
      <c r="G374" s="1096"/>
      <c r="H374" s="1096"/>
      <c r="I374" s="1096"/>
      <c r="J374" s="1097"/>
      <c r="K374" s="364" t="s">
        <v>8</v>
      </c>
      <c r="L374" s="560">
        <f>K377</f>
        <v>100</v>
      </c>
    </row>
    <row r="375" spans="2:12" x14ac:dyDescent="0.25">
      <c r="B375" s="189"/>
      <c r="D375" s="47"/>
      <c r="E375" s="47"/>
      <c r="K375" s="47"/>
      <c r="L375" s="542"/>
    </row>
    <row r="376" spans="2:12" x14ac:dyDescent="0.25">
      <c r="B376" s="179"/>
      <c r="C376" s="37"/>
      <c r="D376" s="529" t="s">
        <v>106</v>
      </c>
      <c r="E376" s="529" t="s">
        <v>771</v>
      </c>
      <c r="F376" s="607"/>
      <c r="J376" s="37"/>
      <c r="K376" s="529" t="s">
        <v>765</v>
      </c>
      <c r="L376" s="543"/>
    </row>
    <row r="377" spans="2:12" x14ac:dyDescent="0.25">
      <c r="B377" s="179"/>
      <c r="C377" s="37"/>
      <c r="D377" s="555" t="s">
        <v>774</v>
      </c>
      <c r="E377" s="529">
        <f>50</f>
        <v>50</v>
      </c>
      <c r="F377" s="608"/>
      <c r="J377" s="37"/>
      <c r="K377" s="529">
        <f>E378*2</f>
        <v>100</v>
      </c>
      <c r="L377" s="543"/>
    </row>
    <row r="378" spans="2:12" x14ac:dyDescent="0.25">
      <c r="B378" s="179"/>
      <c r="C378" s="37"/>
      <c r="D378" s="529" t="s">
        <v>217</v>
      </c>
      <c r="E378" s="610">
        <f>E377</f>
        <v>50</v>
      </c>
      <c r="F378" s="609"/>
      <c r="K378" s="25"/>
      <c r="L378" s="544"/>
    </row>
    <row r="379" spans="2:12" x14ac:dyDescent="0.25">
      <c r="B379" s="299"/>
      <c r="D379" s="25"/>
      <c r="E379" s="25"/>
      <c r="L379" s="632"/>
    </row>
    <row r="380" spans="2:12" x14ac:dyDescent="0.25">
      <c r="B380" s="639"/>
      <c r="C380" s="601" t="s">
        <v>753</v>
      </c>
      <c r="D380" s="1098" t="s">
        <v>754</v>
      </c>
      <c r="E380" s="1099"/>
      <c r="F380" s="1099"/>
      <c r="G380" s="1099"/>
      <c r="H380" s="1099"/>
      <c r="I380" s="1099"/>
      <c r="J380" s="1100"/>
      <c r="K380" s="364" t="s">
        <v>42</v>
      </c>
      <c r="L380" s="560">
        <f>E384</f>
        <v>10</v>
      </c>
    </row>
    <row r="381" spans="2:12" x14ac:dyDescent="0.25">
      <c r="B381" s="189"/>
      <c r="D381" s="47"/>
      <c r="E381" s="47"/>
      <c r="K381" s="47"/>
      <c r="L381" s="542"/>
    </row>
    <row r="382" spans="2:12" x14ac:dyDescent="0.25">
      <c r="B382" s="179"/>
      <c r="C382" s="37"/>
      <c r="D382" s="529" t="s">
        <v>106</v>
      </c>
      <c r="E382" s="529" t="s">
        <v>776</v>
      </c>
      <c r="F382" s="38"/>
      <c r="J382" s="37"/>
      <c r="K382" s="131"/>
      <c r="L382" s="543"/>
    </row>
    <row r="383" spans="2:12" x14ac:dyDescent="0.25">
      <c r="B383" s="179"/>
      <c r="C383" s="37"/>
      <c r="D383" s="555" t="s">
        <v>775</v>
      </c>
      <c r="E383" s="529">
        <v>10</v>
      </c>
      <c r="F383" s="38"/>
      <c r="J383" s="37"/>
      <c r="K383" s="131"/>
      <c r="L383" s="543"/>
    </row>
    <row r="384" spans="2:12" x14ac:dyDescent="0.25">
      <c r="B384" s="179"/>
      <c r="C384" s="37"/>
      <c r="D384" s="529" t="s">
        <v>217</v>
      </c>
      <c r="E384" s="610">
        <f>E383</f>
        <v>10</v>
      </c>
      <c r="F384" s="38"/>
      <c r="K384" s="25"/>
      <c r="L384" s="544"/>
    </row>
    <row r="385" spans="2:12" x14ac:dyDescent="0.25">
      <c r="B385" s="299"/>
      <c r="D385" s="25"/>
      <c r="E385" s="25"/>
      <c r="L385" s="632"/>
    </row>
    <row r="386" spans="2:12" x14ac:dyDescent="0.25">
      <c r="B386" s="639"/>
      <c r="C386" s="383" t="s">
        <v>716</v>
      </c>
      <c r="D386" s="1087" t="s">
        <v>717</v>
      </c>
      <c r="E386" s="1088"/>
      <c r="F386" s="1088"/>
      <c r="G386" s="1088"/>
      <c r="H386" s="1088"/>
      <c r="I386" s="1088"/>
      <c r="J386" s="1089"/>
      <c r="K386" s="364" t="s">
        <v>8</v>
      </c>
      <c r="L386" s="560">
        <f>K389</f>
        <v>333</v>
      </c>
    </row>
    <row r="387" spans="2:12" x14ac:dyDescent="0.25">
      <c r="B387" s="189"/>
      <c r="D387" s="47"/>
      <c r="E387" s="47"/>
      <c r="F387" s="54"/>
      <c r="G387" s="47"/>
      <c r="K387" s="47"/>
      <c r="L387" s="542"/>
    </row>
    <row r="388" spans="2:12" x14ac:dyDescent="0.25">
      <c r="B388" s="179"/>
      <c r="C388" s="37"/>
      <c r="D388" s="529" t="s">
        <v>106</v>
      </c>
      <c r="E388" s="529" t="s">
        <v>780</v>
      </c>
      <c r="F388" s="557" t="s">
        <v>777</v>
      </c>
      <c r="G388" s="555" t="s">
        <v>779</v>
      </c>
      <c r="H388" s="36"/>
      <c r="J388" s="37"/>
      <c r="K388" s="529" t="s">
        <v>765</v>
      </c>
      <c r="L388" s="543"/>
    </row>
    <row r="389" spans="2:12" x14ac:dyDescent="0.25">
      <c r="B389" s="179"/>
      <c r="C389" s="37"/>
      <c r="D389" s="555" t="s">
        <v>778</v>
      </c>
      <c r="E389" s="529">
        <f>2.9+2.65</f>
        <v>5.55</v>
      </c>
      <c r="F389" s="558">
        <v>3</v>
      </c>
      <c r="G389" s="529">
        <v>10</v>
      </c>
      <c r="H389" s="36"/>
      <c r="J389" s="37"/>
      <c r="K389" s="529">
        <f>E390*2</f>
        <v>333</v>
      </c>
      <c r="L389" s="543"/>
    </row>
    <row r="390" spans="2:12" x14ac:dyDescent="0.25">
      <c r="B390" s="179"/>
      <c r="C390" s="37"/>
      <c r="D390" s="529" t="s">
        <v>217</v>
      </c>
      <c r="E390" s="1090">
        <f>E389*F389*G389</f>
        <v>166.5</v>
      </c>
      <c r="F390" s="1091"/>
      <c r="G390" s="1092"/>
      <c r="H390" s="36"/>
      <c r="K390" s="25"/>
      <c r="L390" s="544"/>
    </row>
    <row r="391" spans="2:12" x14ac:dyDescent="0.25">
      <c r="B391" s="299"/>
      <c r="D391" s="25"/>
      <c r="E391" s="25"/>
      <c r="F391" s="34"/>
      <c r="G391" s="25"/>
      <c r="L391" s="544"/>
    </row>
    <row r="392" spans="2:12" x14ac:dyDescent="0.25">
      <c r="B392" s="639"/>
      <c r="C392" s="601" t="s">
        <v>753</v>
      </c>
      <c r="D392" s="1093" t="s">
        <v>754</v>
      </c>
      <c r="E392" s="1093"/>
      <c r="F392" s="1093"/>
      <c r="G392" s="1093"/>
      <c r="H392" s="1093"/>
      <c r="I392" s="1093"/>
      <c r="J392" s="1093"/>
      <c r="K392" s="375" t="s">
        <v>42</v>
      </c>
      <c r="L392" s="640">
        <f>E396</f>
        <v>10</v>
      </c>
    </row>
    <row r="393" spans="2:12" x14ac:dyDescent="0.25">
      <c r="B393" s="189"/>
      <c r="D393" s="47"/>
      <c r="E393" s="47"/>
      <c r="K393" s="47"/>
      <c r="L393" s="544"/>
    </row>
    <row r="394" spans="2:12" x14ac:dyDescent="0.25">
      <c r="B394" s="179"/>
      <c r="C394" s="37"/>
      <c r="D394" s="529" t="s">
        <v>106</v>
      </c>
      <c r="E394" s="529" t="s">
        <v>776</v>
      </c>
      <c r="F394" s="38"/>
      <c r="J394" s="37"/>
      <c r="K394" s="613"/>
      <c r="L394" s="642"/>
    </row>
    <row r="395" spans="2:12" x14ac:dyDescent="0.25">
      <c r="B395" s="179"/>
      <c r="C395" s="37"/>
      <c r="D395" s="555" t="s">
        <v>775</v>
      </c>
      <c r="E395" s="529">
        <v>10</v>
      </c>
      <c r="F395" s="38"/>
      <c r="J395" s="37"/>
      <c r="K395" s="612"/>
      <c r="L395" s="642"/>
    </row>
    <row r="396" spans="2:12" x14ac:dyDescent="0.25">
      <c r="B396" s="179"/>
      <c r="C396" s="37"/>
      <c r="D396" s="529" t="s">
        <v>217</v>
      </c>
      <c r="E396" s="610">
        <f>E395</f>
        <v>10</v>
      </c>
      <c r="F396" s="38"/>
      <c r="K396" s="614"/>
      <c r="L396" s="544"/>
    </row>
    <row r="397" spans="2:12" x14ac:dyDescent="0.25">
      <c r="B397" s="179"/>
      <c r="D397" s="25"/>
      <c r="E397" s="25"/>
      <c r="L397" s="544"/>
    </row>
    <row r="398" spans="2:12" x14ac:dyDescent="0.25">
      <c r="B398" s="179"/>
      <c r="L398" s="544"/>
    </row>
    <row r="399" spans="2:12" x14ac:dyDescent="0.25">
      <c r="B399" s="179"/>
      <c r="L399" s="544"/>
    </row>
    <row r="400" spans="2:12" ht="15.75" thickBot="1" x14ac:dyDescent="0.3">
      <c r="B400" s="181"/>
      <c r="C400" s="182"/>
      <c r="D400" s="182"/>
      <c r="E400" s="182"/>
      <c r="F400" s="536"/>
      <c r="G400" s="182"/>
      <c r="H400" s="182"/>
      <c r="I400" s="182"/>
      <c r="J400" s="182"/>
      <c r="K400" s="182"/>
      <c r="L400" s="545"/>
    </row>
  </sheetData>
  <mergeCells count="79">
    <mergeCell ref="D3:J3"/>
    <mergeCell ref="C2:L2"/>
    <mergeCell ref="D234:J234"/>
    <mergeCell ref="D236:J236"/>
    <mergeCell ref="D133:E133"/>
    <mergeCell ref="D135:J135"/>
    <mergeCell ref="D142:E142"/>
    <mergeCell ref="D144:J144"/>
    <mergeCell ref="D151:E151"/>
    <mergeCell ref="D153:J153"/>
    <mergeCell ref="D160:E160"/>
    <mergeCell ref="D162:J162"/>
    <mergeCell ref="D186:J186"/>
    <mergeCell ref="D193:J193"/>
    <mergeCell ref="D201:J201"/>
    <mergeCell ref="D208:J208"/>
    <mergeCell ref="D63:J63"/>
    <mergeCell ref="D89:J89"/>
    <mergeCell ref="F91:F92"/>
    <mergeCell ref="D94:J94"/>
    <mergeCell ref="D112:J112"/>
    <mergeCell ref="D103:J103"/>
    <mergeCell ref="D107:J107"/>
    <mergeCell ref="D65:E65"/>
    <mergeCell ref="D67:J67"/>
    <mergeCell ref="D71:J71"/>
    <mergeCell ref="D75:J75"/>
    <mergeCell ref="E78:E79"/>
    <mergeCell ref="D84:J84"/>
    <mergeCell ref="D49:J49"/>
    <mergeCell ref="D30:J30"/>
    <mergeCell ref="D36:J36"/>
    <mergeCell ref="D42:J42"/>
    <mergeCell ref="D56:J56"/>
    <mergeCell ref="D238:J238"/>
    <mergeCell ref="D240:J240"/>
    <mergeCell ref="D224:J224"/>
    <mergeCell ref="D226:J226"/>
    <mergeCell ref="D228:J228"/>
    <mergeCell ref="D230:J230"/>
    <mergeCell ref="D232:J232"/>
    <mergeCell ref="D121:J121"/>
    <mergeCell ref="D169:E169"/>
    <mergeCell ref="D171:J171"/>
    <mergeCell ref="D178:E178"/>
    <mergeCell ref="D222:J222"/>
    <mergeCell ref="D126:J126"/>
    <mergeCell ref="D180:J180"/>
    <mergeCell ref="G182:G184"/>
    <mergeCell ref="D213:J213"/>
    <mergeCell ref="D218:J218"/>
    <mergeCell ref="D220:J220"/>
    <mergeCell ref="D297:J297"/>
    <mergeCell ref="D282:J282"/>
    <mergeCell ref="D287:J287"/>
    <mergeCell ref="D292:J292"/>
    <mergeCell ref="D242:J242"/>
    <mergeCell ref="D244:J244"/>
    <mergeCell ref="D246:J246"/>
    <mergeCell ref="D248:J248"/>
    <mergeCell ref="D250:J250"/>
    <mergeCell ref="D252:J252"/>
    <mergeCell ref="D256:D259"/>
    <mergeCell ref="E263:F263"/>
    <mergeCell ref="D266:J266"/>
    <mergeCell ref="E280:F280"/>
    <mergeCell ref="E360:F360"/>
    <mergeCell ref="D362:J362"/>
    <mergeCell ref="D368:J368"/>
    <mergeCell ref="D321:J321"/>
    <mergeCell ref="D344:J344"/>
    <mergeCell ref="D350:J350"/>
    <mergeCell ref="D356:J356"/>
    <mergeCell ref="D386:J386"/>
    <mergeCell ref="E390:G390"/>
    <mergeCell ref="D392:J392"/>
    <mergeCell ref="E372:F372"/>
    <mergeCell ref="D374:J374"/>
    <mergeCell ref="D380:J380"/>
  </mergeCells>
  <phoneticPr fontId="7" type="noConversion"/>
  <pageMargins left="0.25" right="0.25" top="0.75" bottom="0.75" header="0.3" footer="0.3"/>
  <pageSetup paperSize="9" scale="31" orientation="portrait" r:id="rId1"/>
  <rowBreaks count="1" manualBreakCount="1">
    <brk id="25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55"/>
  <sheetViews>
    <sheetView topLeftCell="A238" zoomScale="80" zoomScaleNormal="80" workbookViewId="0">
      <selection activeCell="D270" sqref="D270"/>
    </sheetView>
  </sheetViews>
  <sheetFormatPr defaultRowHeight="15" x14ac:dyDescent="0.25"/>
  <cols>
    <col min="3" max="3" width="19.28515625" style="24" customWidth="1"/>
    <col min="4" max="4" width="42.85546875" style="24" customWidth="1"/>
    <col min="5" max="5" width="14.5703125" style="24" customWidth="1"/>
    <col min="6" max="6" width="11.42578125" style="24" customWidth="1"/>
    <col min="7" max="7" width="9.5703125" style="24" bestFit="1" customWidth="1"/>
    <col min="8" max="8" width="16.85546875" style="24" customWidth="1"/>
    <col min="9" max="9" width="15.42578125" style="24" customWidth="1"/>
    <col min="10" max="10" width="14.42578125" style="24" bestFit="1" customWidth="1"/>
    <col min="11" max="11" width="9.140625" style="24"/>
    <col min="12" max="12" width="8" style="24" bestFit="1" customWidth="1"/>
    <col min="15" max="15" width="13.5703125" bestFit="1" customWidth="1"/>
  </cols>
  <sheetData>
    <row r="1" spans="3:12" ht="15.75" thickBot="1" x14ac:dyDescent="0.3">
      <c r="C1" s="47"/>
      <c r="D1" s="47"/>
      <c r="E1" s="47"/>
      <c r="F1" s="47"/>
      <c r="G1" s="47"/>
      <c r="H1" s="47"/>
      <c r="I1" s="47"/>
      <c r="J1" s="47"/>
      <c r="K1" s="47"/>
      <c r="L1" s="47"/>
    </row>
    <row r="2" spans="3:12" ht="16.5" thickBot="1" x14ac:dyDescent="0.3">
      <c r="C2" s="196" t="s">
        <v>1</v>
      </c>
      <c r="D2" s="1128" t="s">
        <v>2</v>
      </c>
      <c r="E2" s="1129"/>
      <c r="F2" s="1129"/>
      <c r="G2" s="1129"/>
      <c r="H2" s="1129"/>
      <c r="I2" s="1130"/>
      <c r="J2" s="572"/>
      <c r="K2" s="643" t="s">
        <v>3</v>
      </c>
      <c r="L2" s="197" t="s">
        <v>4</v>
      </c>
    </row>
    <row r="3" spans="3:12" ht="16.5" thickBot="1" x14ac:dyDescent="0.3">
      <c r="C3" s="1131" t="s">
        <v>43</v>
      </c>
      <c r="D3" s="1120"/>
      <c r="E3" s="1120"/>
      <c r="F3" s="1120"/>
      <c r="G3" s="1120"/>
      <c r="H3" s="1120"/>
      <c r="I3" s="1120"/>
      <c r="J3" s="1120"/>
      <c r="K3" s="1120"/>
      <c r="L3" s="1121"/>
    </row>
    <row r="4" spans="3:12" x14ac:dyDescent="0.25">
      <c r="C4" s="240" t="s">
        <v>382</v>
      </c>
      <c r="D4" s="1132" t="s">
        <v>383</v>
      </c>
      <c r="E4" s="1132"/>
      <c r="F4" s="1132"/>
      <c r="G4" s="1132"/>
      <c r="H4" s="1132"/>
      <c r="I4" s="1132"/>
      <c r="J4" s="1132"/>
      <c r="K4" s="41" t="s">
        <v>7</v>
      </c>
      <c r="L4" s="241">
        <f>E7</f>
        <v>2</v>
      </c>
    </row>
    <row r="5" spans="3:12" x14ac:dyDescent="0.25">
      <c r="C5" s="189"/>
      <c r="D5" s="39"/>
      <c r="E5" s="39"/>
      <c r="F5" s="25"/>
      <c r="G5" s="25"/>
      <c r="H5" s="25"/>
      <c r="I5" s="25"/>
      <c r="J5" s="25"/>
      <c r="K5" s="25"/>
      <c r="L5" s="242"/>
    </row>
    <row r="6" spans="3:12" x14ac:dyDescent="0.25">
      <c r="C6" s="180"/>
      <c r="D6" s="157" t="s">
        <v>363</v>
      </c>
      <c r="E6" s="166" t="s">
        <v>155</v>
      </c>
      <c r="F6" s="36"/>
      <c r="L6" s="243"/>
    </row>
    <row r="7" spans="3:12" x14ac:dyDescent="0.25">
      <c r="C7" s="180"/>
      <c r="D7" s="166" t="s">
        <v>398</v>
      </c>
      <c r="E7" s="158">
        <v>2</v>
      </c>
      <c r="F7" s="36"/>
      <c r="L7" s="243"/>
    </row>
    <row r="8" spans="3:12" x14ac:dyDescent="0.25">
      <c r="C8" s="179"/>
      <c r="D8" s="25"/>
      <c r="E8" s="25"/>
      <c r="L8" s="243"/>
    </row>
    <row r="9" spans="3:12" x14ac:dyDescent="0.25">
      <c r="C9" s="244" t="s">
        <v>384</v>
      </c>
      <c r="D9" s="1124" t="s">
        <v>385</v>
      </c>
      <c r="E9" s="1124"/>
      <c r="F9" s="1124"/>
      <c r="G9" s="1124"/>
      <c r="H9" s="1124"/>
      <c r="I9" s="1124"/>
      <c r="J9" s="1124"/>
      <c r="K9" s="8" t="s">
        <v>7</v>
      </c>
      <c r="L9" s="245">
        <f>E14</f>
        <v>8</v>
      </c>
    </row>
    <row r="10" spans="3:12" x14ac:dyDescent="0.25">
      <c r="C10" s="179"/>
      <c r="D10" s="47"/>
      <c r="E10" s="47"/>
      <c r="L10" s="243"/>
    </row>
    <row r="11" spans="3:12" x14ac:dyDescent="0.25">
      <c r="C11" s="180"/>
      <c r="D11" s="157" t="s">
        <v>363</v>
      </c>
      <c r="E11" s="166" t="s">
        <v>155</v>
      </c>
      <c r="F11" s="36"/>
      <c r="L11" s="243"/>
    </row>
    <row r="12" spans="3:12" x14ac:dyDescent="0.25">
      <c r="C12" s="180"/>
      <c r="D12" s="105" t="s">
        <v>399</v>
      </c>
      <c r="E12" s="158">
        <v>5</v>
      </c>
      <c r="F12" s="36"/>
      <c r="L12" s="243"/>
    </row>
    <row r="13" spans="3:12" x14ac:dyDescent="0.25">
      <c r="C13" s="180"/>
      <c r="D13" s="166" t="s">
        <v>400</v>
      </c>
      <c r="E13" s="158">
        <v>3</v>
      </c>
      <c r="F13" s="36"/>
      <c r="L13" s="243"/>
    </row>
    <row r="14" spans="3:12" x14ac:dyDescent="0.25">
      <c r="C14" s="180"/>
      <c r="D14" s="157" t="s">
        <v>217</v>
      </c>
      <c r="E14" s="158">
        <f>E12+E13</f>
        <v>8</v>
      </c>
      <c r="F14" s="36"/>
      <c r="L14" s="243"/>
    </row>
    <row r="15" spans="3:12" x14ac:dyDescent="0.25">
      <c r="C15" s="179"/>
      <c r="D15" s="25"/>
      <c r="E15" s="25"/>
      <c r="L15" s="243"/>
    </row>
    <row r="16" spans="3:12" x14ac:dyDescent="0.25">
      <c r="C16" s="244" t="s">
        <v>58</v>
      </c>
      <c r="D16" s="1124" t="s">
        <v>59</v>
      </c>
      <c r="E16" s="1124"/>
      <c r="F16" s="1124"/>
      <c r="G16" s="1124"/>
      <c r="H16" s="1124"/>
      <c r="I16" s="1124"/>
      <c r="J16" s="1124"/>
      <c r="K16" s="8" t="s">
        <v>48</v>
      </c>
      <c r="L16" s="245">
        <f>F18</f>
        <v>1027.26</v>
      </c>
    </row>
    <row r="17" spans="3:12" x14ac:dyDescent="0.25">
      <c r="C17" s="179"/>
      <c r="D17" s="47"/>
      <c r="E17" s="47"/>
      <c r="F17" s="47"/>
      <c r="L17" s="243"/>
    </row>
    <row r="18" spans="3:12" x14ac:dyDescent="0.25">
      <c r="C18" s="180"/>
      <c r="D18" s="105">
        <v>856.05</v>
      </c>
      <c r="E18" s="105">
        <v>1.2</v>
      </c>
      <c r="F18" s="107">
        <f>D18*E18</f>
        <v>1027.26</v>
      </c>
      <c r="G18" s="36"/>
      <c r="L18" s="243"/>
    </row>
    <row r="19" spans="3:12" x14ac:dyDescent="0.25">
      <c r="C19" s="179"/>
      <c r="D19" s="25"/>
      <c r="E19" s="25"/>
      <c r="F19" s="25"/>
      <c r="L19" s="243"/>
    </row>
    <row r="20" spans="3:12" x14ac:dyDescent="0.25">
      <c r="C20" s="244" t="s">
        <v>50</v>
      </c>
      <c r="D20" s="1124" t="s">
        <v>60</v>
      </c>
      <c r="E20" s="1124"/>
      <c r="F20" s="1124"/>
      <c r="G20" s="1124"/>
      <c r="H20" s="1124"/>
      <c r="I20" s="1124"/>
      <c r="J20" s="1124"/>
      <c r="K20" s="8" t="s">
        <v>8</v>
      </c>
      <c r="L20" s="245">
        <f>E24</f>
        <v>62.6</v>
      </c>
    </row>
    <row r="21" spans="3:12" x14ac:dyDescent="0.25">
      <c r="C21" s="179"/>
      <c r="D21" s="47"/>
      <c r="E21" s="47"/>
      <c r="L21" s="243"/>
    </row>
    <row r="22" spans="3:12" x14ac:dyDescent="0.25">
      <c r="C22" s="180"/>
      <c r="D22" s="214" t="s">
        <v>388</v>
      </c>
      <c r="E22" s="234">
        <v>29</v>
      </c>
      <c r="F22" s="36"/>
      <c r="L22" s="243"/>
    </row>
    <row r="23" spans="3:12" x14ac:dyDescent="0.25">
      <c r="C23" s="180"/>
      <c r="D23" s="214" t="s">
        <v>389</v>
      </c>
      <c r="E23" s="234">
        <v>33.6</v>
      </c>
      <c r="F23" s="36"/>
      <c r="L23" s="243"/>
    </row>
    <row r="24" spans="3:12" x14ac:dyDescent="0.25">
      <c r="C24" s="180"/>
      <c r="D24" s="214" t="s">
        <v>217</v>
      </c>
      <c r="E24" s="234">
        <f>E22+E23</f>
        <v>62.6</v>
      </c>
      <c r="F24" s="36"/>
      <c r="L24" s="243"/>
    </row>
    <row r="25" spans="3:12" x14ac:dyDescent="0.25">
      <c r="C25" s="179"/>
      <c r="D25" s="25"/>
      <c r="E25" s="25"/>
      <c r="L25" s="243"/>
    </row>
    <row r="26" spans="3:12" x14ac:dyDescent="0.25">
      <c r="C26" s="244" t="s">
        <v>50</v>
      </c>
      <c r="D26" s="1124" t="s">
        <v>61</v>
      </c>
      <c r="E26" s="1124"/>
      <c r="F26" s="1124"/>
      <c r="G26" s="1124"/>
      <c r="H26" s="1124"/>
      <c r="I26" s="1124"/>
      <c r="J26" s="1124"/>
      <c r="K26" s="8" t="s">
        <v>8</v>
      </c>
      <c r="L26" s="245">
        <f>E28</f>
        <v>51.45</v>
      </c>
    </row>
    <row r="27" spans="3:12" x14ac:dyDescent="0.25">
      <c r="C27" s="179"/>
      <c r="D27" s="47"/>
      <c r="E27" s="47"/>
      <c r="L27" s="243"/>
    </row>
    <row r="28" spans="3:12" x14ac:dyDescent="0.25">
      <c r="C28" s="180"/>
      <c r="D28" s="214" t="s">
        <v>390</v>
      </c>
      <c r="E28" s="214">
        <v>51.45</v>
      </c>
      <c r="F28" s="36"/>
      <c r="L28" s="243"/>
    </row>
    <row r="29" spans="3:12" x14ac:dyDescent="0.25">
      <c r="C29" s="179"/>
      <c r="D29" s="25"/>
      <c r="E29" s="25"/>
      <c r="L29" s="243"/>
    </row>
    <row r="30" spans="3:12" x14ac:dyDescent="0.25">
      <c r="C30" s="244" t="s">
        <v>409</v>
      </c>
      <c r="D30" s="1127" t="s">
        <v>481</v>
      </c>
      <c r="E30" s="1127"/>
      <c r="F30" s="1127"/>
      <c r="G30" s="1127"/>
      <c r="H30" s="1127"/>
      <c r="I30" s="1127"/>
      <c r="J30" s="1127"/>
      <c r="K30" s="8" t="s">
        <v>7</v>
      </c>
      <c r="L30" s="245">
        <v>1</v>
      </c>
    </row>
    <row r="31" spans="3:12" x14ac:dyDescent="0.25">
      <c r="C31" s="179"/>
      <c r="L31" s="243"/>
    </row>
    <row r="32" spans="3:12" x14ac:dyDescent="0.25">
      <c r="C32" s="244" t="s">
        <v>485</v>
      </c>
      <c r="D32" s="1124" t="s">
        <v>486</v>
      </c>
      <c r="E32" s="1124"/>
      <c r="F32" s="1124"/>
      <c r="G32" s="1124"/>
      <c r="H32" s="1124"/>
      <c r="I32" s="1124"/>
      <c r="J32" s="1124"/>
      <c r="K32" s="8" t="s">
        <v>7</v>
      </c>
      <c r="L32" s="245">
        <v>1</v>
      </c>
    </row>
    <row r="33" spans="3:12" x14ac:dyDescent="0.25">
      <c r="C33" s="179"/>
      <c r="L33" s="243"/>
    </row>
    <row r="34" spans="3:12" x14ac:dyDescent="0.25">
      <c r="C34" s="244" t="s">
        <v>487</v>
      </c>
      <c r="D34" s="1126" t="s">
        <v>488</v>
      </c>
      <c r="E34" s="1126"/>
      <c r="F34" s="1126"/>
      <c r="G34" s="1126"/>
      <c r="H34" s="1126"/>
      <c r="I34" s="1126"/>
      <c r="J34" s="1126"/>
      <c r="K34" s="8" t="s">
        <v>7</v>
      </c>
      <c r="L34" s="245">
        <v>1</v>
      </c>
    </row>
    <row r="35" spans="3:12" x14ac:dyDescent="0.25">
      <c r="C35" s="179"/>
      <c r="L35" s="243"/>
    </row>
    <row r="36" spans="3:12" x14ac:dyDescent="0.25">
      <c r="C36" s="244" t="s">
        <v>489</v>
      </c>
      <c r="D36" s="1126" t="s">
        <v>490</v>
      </c>
      <c r="E36" s="1126"/>
      <c r="F36" s="1126"/>
      <c r="G36" s="1126"/>
      <c r="H36" s="1126"/>
      <c r="I36" s="1126"/>
      <c r="J36" s="1126"/>
      <c r="K36" s="8" t="s">
        <v>7</v>
      </c>
      <c r="L36" s="245">
        <v>2</v>
      </c>
    </row>
    <row r="37" spans="3:12" x14ac:dyDescent="0.25">
      <c r="C37" s="179"/>
      <c r="D37" s="199"/>
      <c r="E37" s="199"/>
      <c r="F37" s="199"/>
      <c r="G37" s="199"/>
      <c r="H37" s="199"/>
      <c r="I37" s="199"/>
      <c r="J37" s="199"/>
      <c r="L37" s="243"/>
    </row>
    <row r="38" spans="3:12" x14ac:dyDescent="0.25">
      <c r="C38" s="244" t="s">
        <v>491</v>
      </c>
      <c r="D38" s="1127" t="s">
        <v>492</v>
      </c>
      <c r="E38" s="1127"/>
      <c r="F38" s="1127"/>
      <c r="G38" s="1127"/>
      <c r="H38" s="1127"/>
      <c r="I38" s="1127"/>
      <c r="J38" s="1127"/>
      <c r="K38" s="8" t="s">
        <v>7</v>
      </c>
      <c r="L38" s="245">
        <v>2</v>
      </c>
    </row>
    <row r="39" spans="3:12" x14ac:dyDescent="0.25">
      <c r="C39" s="179"/>
      <c r="L39" s="243"/>
    </row>
    <row r="40" spans="3:12" x14ac:dyDescent="0.25">
      <c r="C40" s="244" t="s">
        <v>493</v>
      </c>
      <c r="D40" s="1126" t="s">
        <v>494</v>
      </c>
      <c r="E40" s="1126"/>
      <c r="F40" s="1126"/>
      <c r="G40" s="1126"/>
      <c r="H40" s="1126"/>
      <c r="I40" s="1126"/>
      <c r="J40" s="1126"/>
      <c r="K40" s="8" t="s">
        <v>7</v>
      </c>
      <c r="L40" s="172">
        <v>3</v>
      </c>
    </row>
    <row r="41" spans="3:12" x14ac:dyDescent="0.25">
      <c r="C41" s="179"/>
      <c r="D41" s="199"/>
      <c r="E41" s="199"/>
      <c r="F41" s="199"/>
      <c r="G41" s="199"/>
      <c r="H41" s="199"/>
      <c r="I41" s="199"/>
      <c r="J41" s="199"/>
      <c r="L41" s="246"/>
    </row>
    <row r="42" spans="3:12" x14ac:dyDescent="0.25">
      <c r="C42" s="244" t="s">
        <v>495</v>
      </c>
      <c r="D42" s="1126" t="s">
        <v>496</v>
      </c>
      <c r="E42" s="1126"/>
      <c r="F42" s="1126"/>
      <c r="G42" s="1126"/>
      <c r="H42" s="1126"/>
      <c r="I42" s="1126"/>
      <c r="J42" s="1126"/>
      <c r="K42" s="8" t="s">
        <v>7</v>
      </c>
      <c r="L42" s="172">
        <v>2</v>
      </c>
    </row>
    <row r="43" spans="3:12" x14ac:dyDescent="0.25">
      <c r="C43" s="179"/>
      <c r="D43" s="199"/>
      <c r="E43" s="199"/>
      <c r="F43" s="199"/>
      <c r="G43" s="199"/>
      <c r="H43" s="199"/>
      <c r="I43" s="199"/>
      <c r="J43" s="199"/>
      <c r="L43" s="246"/>
    </row>
    <row r="44" spans="3:12" x14ac:dyDescent="0.25">
      <c r="C44" s="244" t="s">
        <v>497</v>
      </c>
      <c r="D44" s="1126" t="s">
        <v>498</v>
      </c>
      <c r="E44" s="1126"/>
      <c r="F44" s="1126"/>
      <c r="G44" s="1126"/>
      <c r="H44" s="1126"/>
      <c r="I44" s="1126"/>
      <c r="J44" s="1126"/>
      <c r="K44" s="8" t="s">
        <v>7</v>
      </c>
      <c r="L44" s="172">
        <v>1</v>
      </c>
    </row>
    <row r="45" spans="3:12" x14ac:dyDescent="0.25">
      <c r="C45" s="179"/>
      <c r="D45" s="199"/>
      <c r="E45" s="199"/>
      <c r="F45" s="199"/>
      <c r="G45" s="199"/>
      <c r="H45" s="199"/>
      <c r="I45" s="199"/>
      <c r="J45" s="199"/>
      <c r="L45" s="246"/>
    </row>
    <row r="46" spans="3:12" x14ac:dyDescent="0.25">
      <c r="C46" s="244" t="s">
        <v>497</v>
      </c>
      <c r="D46" s="1126" t="s">
        <v>499</v>
      </c>
      <c r="E46" s="1126"/>
      <c r="F46" s="1126"/>
      <c r="G46" s="1126"/>
      <c r="H46" s="1126"/>
      <c r="I46" s="1126"/>
      <c r="J46" s="1126"/>
      <c r="K46" s="8" t="s">
        <v>7</v>
      </c>
      <c r="L46" s="172">
        <v>1</v>
      </c>
    </row>
    <row r="47" spans="3:12" x14ac:dyDescent="0.25">
      <c r="C47" s="179"/>
      <c r="L47" s="246"/>
    </row>
    <row r="48" spans="3:12" x14ac:dyDescent="0.25">
      <c r="C48" s="244" t="s">
        <v>500</v>
      </c>
      <c r="D48" s="1124" t="s">
        <v>501</v>
      </c>
      <c r="E48" s="1124"/>
      <c r="F48" s="1124"/>
      <c r="G48" s="1124"/>
      <c r="H48" s="1124"/>
      <c r="I48" s="1124"/>
      <c r="J48" s="1124"/>
      <c r="K48" s="8" t="s">
        <v>7</v>
      </c>
      <c r="L48" s="172">
        <v>1</v>
      </c>
    </row>
    <row r="49" spans="3:12" x14ac:dyDescent="0.25">
      <c r="C49" s="179"/>
      <c r="D49" s="199"/>
      <c r="E49" s="199"/>
      <c r="F49" s="199"/>
      <c r="G49" s="199"/>
      <c r="H49" s="199"/>
      <c r="I49" s="199"/>
      <c r="J49" s="199"/>
      <c r="L49" s="246"/>
    </row>
    <row r="50" spans="3:12" x14ac:dyDescent="0.25">
      <c r="C50" s="244" t="s">
        <v>152</v>
      </c>
      <c r="D50" s="1127" t="s">
        <v>502</v>
      </c>
      <c r="E50" s="1127"/>
      <c r="F50" s="1127"/>
      <c r="G50" s="1127"/>
      <c r="H50" s="1127"/>
      <c r="I50" s="1127"/>
      <c r="J50" s="1127"/>
      <c r="K50" s="8" t="s">
        <v>7</v>
      </c>
      <c r="L50" s="172">
        <v>2</v>
      </c>
    </row>
    <row r="51" spans="3:12" x14ac:dyDescent="0.25">
      <c r="C51" s="179"/>
      <c r="D51" s="199"/>
      <c r="E51" s="199"/>
      <c r="F51" s="199"/>
      <c r="G51" s="199"/>
      <c r="H51" s="199"/>
      <c r="I51" s="199"/>
      <c r="J51" s="199"/>
      <c r="L51" s="246"/>
    </row>
    <row r="52" spans="3:12" x14ac:dyDescent="0.25">
      <c r="C52" s="244" t="s">
        <v>152</v>
      </c>
      <c r="D52" s="1127" t="s">
        <v>503</v>
      </c>
      <c r="E52" s="1127"/>
      <c r="F52" s="1127"/>
      <c r="G52" s="1127"/>
      <c r="H52" s="1127"/>
      <c r="I52" s="1127"/>
      <c r="J52" s="1127"/>
      <c r="K52" s="8" t="s">
        <v>7</v>
      </c>
      <c r="L52" s="172">
        <v>2</v>
      </c>
    </row>
    <row r="53" spans="3:12" x14ac:dyDescent="0.25">
      <c r="C53" s="179"/>
      <c r="D53" s="199"/>
      <c r="E53" s="199"/>
      <c r="F53" s="199"/>
      <c r="G53" s="199"/>
      <c r="H53" s="199"/>
      <c r="I53" s="199"/>
      <c r="J53" s="199"/>
      <c r="L53" s="247"/>
    </row>
    <row r="54" spans="3:12" x14ac:dyDescent="0.25">
      <c r="C54" s="244" t="s">
        <v>504</v>
      </c>
      <c r="D54" s="1127" t="s">
        <v>505</v>
      </c>
      <c r="E54" s="1127"/>
      <c r="F54" s="1127"/>
      <c r="G54" s="1127"/>
      <c r="H54" s="1127"/>
      <c r="I54" s="1127"/>
      <c r="J54" s="1127"/>
      <c r="K54" s="8" t="s">
        <v>7</v>
      </c>
      <c r="L54" s="172">
        <v>2</v>
      </c>
    </row>
    <row r="55" spans="3:12" x14ac:dyDescent="0.25">
      <c r="C55" s="179"/>
      <c r="L55" s="247"/>
    </row>
    <row r="56" spans="3:12" x14ac:dyDescent="0.25">
      <c r="C56" s="244" t="s">
        <v>500</v>
      </c>
      <c r="D56" s="1124" t="s">
        <v>506</v>
      </c>
      <c r="E56" s="1124"/>
      <c r="F56" s="1124"/>
      <c r="G56" s="1124"/>
      <c r="H56" s="1124"/>
      <c r="I56" s="1124"/>
      <c r="J56" s="1124"/>
      <c r="K56" s="8" t="s">
        <v>7</v>
      </c>
      <c r="L56" s="172">
        <v>2</v>
      </c>
    </row>
    <row r="57" spans="3:12" x14ac:dyDescent="0.25">
      <c r="C57" s="179"/>
      <c r="L57" s="247"/>
    </row>
    <row r="58" spans="3:12" x14ac:dyDescent="0.25">
      <c r="C58" s="244" t="s">
        <v>507</v>
      </c>
      <c r="D58" s="1124" t="s">
        <v>508</v>
      </c>
      <c r="E58" s="1124"/>
      <c r="F58" s="1124"/>
      <c r="G58" s="1124"/>
      <c r="H58" s="1124"/>
      <c r="I58" s="1124"/>
      <c r="J58" s="1124"/>
      <c r="K58" s="8" t="s">
        <v>7</v>
      </c>
      <c r="L58" s="172">
        <v>5</v>
      </c>
    </row>
    <row r="59" spans="3:12" x14ac:dyDescent="0.25">
      <c r="C59" s="179"/>
      <c r="L59" s="247"/>
    </row>
    <row r="60" spans="3:12" x14ac:dyDescent="0.25">
      <c r="C60" s="244" t="s">
        <v>507</v>
      </c>
      <c r="D60" s="1124" t="s">
        <v>509</v>
      </c>
      <c r="E60" s="1124"/>
      <c r="F60" s="1124"/>
      <c r="G60" s="1124"/>
      <c r="H60" s="1124"/>
      <c r="I60" s="1124"/>
      <c r="J60" s="1124"/>
      <c r="K60" s="8" t="s">
        <v>7</v>
      </c>
      <c r="L60" s="172">
        <v>2</v>
      </c>
    </row>
    <row r="61" spans="3:12" x14ac:dyDescent="0.25">
      <c r="C61" s="179"/>
      <c r="L61" s="247"/>
    </row>
    <row r="62" spans="3:12" x14ac:dyDescent="0.25">
      <c r="C62" s="244" t="s">
        <v>510</v>
      </c>
      <c r="D62" s="1124" t="s">
        <v>511</v>
      </c>
      <c r="E62" s="1124"/>
      <c r="F62" s="1124"/>
      <c r="G62" s="1124"/>
      <c r="H62" s="1124"/>
      <c r="I62" s="1124"/>
      <c r="J62" s="1124"/>
      <c r="K62" s="8" t="s">
        <v>7</v>
      </c>
      <c r="L62" s="172">
        <v>1</v>
      </c>
    </row>
    <row r="63" spans="3:12" x14ac:dyDescent="0.25">
      <c r="C63" s="179"/>
      <c r="L63" s="247"/>
    </row>
    <row r="64" spans="3:12" x14ac:dyDescent="0.25">
      <c r="C64" s="244" t="s">
        <v>507</v>
      </c>
      <c r="D64" s="1124" t="s">
        <v>512</v>
      </c>
      <c r="E64" s="1124"/>
      <c r="F64" s="1124"/>
      <c r="G64" s="1124"/>
      <c r="H64" s="1124"/>
      <c r="I64" s="1124"/>
      <c r="J64" s="1124"/>
      <c r="K64" s="8" t="s">
        <v>7</v>
      </c>
      <c r="L64" s="172">
        <v>1</v>
      </c>
    </row>
    <row r="65" spans="3:12" x14ac:dyDescent="0.25">
      <c r="C65" s="179"/>
      <c r="L65" s="247"/>
    </row>
    <row r="66" spans="3:12" x14ac:dyDescent="0.25">
      <c r="C66" s="244" t="s">
        <v>510</v>
      </c>
      <c r="D66" s="1124" t="s">
        <v>513</v>
      </c>
      <c r="E66" s="1124"/>
      <c r="F66" s="1124"/>
      <c r="G66" s="1124"/>
      <c r="H66" s="1124"/>
      <c r="I66" s="1124"/>
      <c r="J66" s="1124"/>
      <c r="K66" s="8" t="s">
        <v>7</v>
      </c>
      <c r="L66" s="172">
        <v>4</v>
      </c>
    </row>
    <row r="67" spans="3:12" x14ac:dyDescent="0.25">
      <c r="C67" s="179"/>
      <c r="L67" s="247"/>
    </row>
    <row r="68" spans="3:12" x14ac:dyDescent="0.25">
      <c r="C68" s="244" t="s">
        <v>507</v>
      </c>
      <c r="D68" s="1124" t="s">
        <v>514</v>
      </c>
      <c r="E68" s="1124"/>
      <c r="F68" s="1124"/>
      <c r="G68" s="1124"/>
      <c r="H68" s="1124"/>
      <c r="I68" s="1124"/>
      <c r="J68" s="1124"/>
      <c r="K68" s="8" t="s">
        <v>7</v>
      </c>
      <c r="L68" s="172">
        <v>7</v>
      </c>
    </row>
    <row r="69" spans="3:12" x14ac:dyDescent="0.25">
      <c r="C69" s="179"/>
      <c r="L69" s="247"/>
    </row>
    <row r="70" spans="3:12" x14ac:dyDescent="0.25">
      <c r="C70" s="244" t="s">
        <v>515</v>
      </c>
      <c r="D70" s="1124" t="s">
        <v>516</v>
      </c>
      <c r="E70" s="1124"/>
      <c r="F70" s="1124"/>
      <c r="G70" s="1124"/>
      <c r="H70" s="1124"/>
      <c r="I70" s="1124"/>
      <c r="J70" s="1124"/>
      <c r="K70" s="8" t="s">
        <v>7</v>
      </c>
      <c r="L70" s="172">
        <v>1</v>
      </c>
    </row>
    <row r="71" spans="3:12" x14ac:dyDescent="0.25">
      <c r="C71" s="179"/>
      <c r="L71" s="247"/>
    </row>
    <row r="72" spans="3:12" x14ac:dyDescent="0.25">
      <c r="C72" s="244" t="s">
        <v>510</v>
      </c>
      <c r="D72" s="1124" t="s">
        <v>517</v>
      </c>
      <c r="E72" s="1124"/>
      <c r="F72" s="1124"/>
      <c r="G72" s="1124"/>
      <c r="H72" s="1124"/>
      <c r="I72" s="1124"/>
      <c r="J72" s="1124"/>
      <c r="K72" s="8" t="s">
        <v>7</v>
      </c>
      <c r="L72" s="172">
        <v>2</v>
      </c>
    </row>
    <row r="73" spans="3:12" x14ac:dyDescent="0.25">
      <c r="C73" s="179"/>
      <c r="L73" s="247"/>
    </row>
    <row r="74" spans="3:12" x14ac:dyDescent="0.25">
      <c r="C74" s="244" t="s">
        <v>510</v>
      </c>
      <c r="D74" s="1124" t="s">
        <v>518</v>
      </c>
      <c r="E74" s="1124"/>
      <c r="F74" s="1124"/>
      <c r="G74" s="1124"/>
      <c r="H74" s="1124"/>
      <c r="I74" s="1124"/>
      <c r="J74" s="1124"/>
      <c r="K74" s="8" t="s">
        <v>7</v>
      </c>
      <c r="L74" s="188">
        <v>1</v>
      </c>
    </row>
    <row r="75" spans="3:12" x14ac:dyDescent="0.25">
      <c r="C75" s="179"/>
      <c r="L75" s="247"/>
    </row>
    <row r="76" spans="3:12" x14ac:dyDescent="0.25">
      <c r="C76" s="244" t="s">
        <v>225</v>
      </c>
      <c r="D76" s="1124" t="s">
        <v>226</v>
      </c>
      <c r="E76" s="1124"/>
      <c r="F76" s="1124"/>
      <c r="G76" s="1124"/>
      <c r="H76" s="1124"/>
      <c r="I76" s="1124"/>
      <c r="J76" s="1124"/>
      <c r="K76" s="8" t="s">
        <v>7</v>
      </c>
      <c r="L76" s="172">
        <v>15</v>
      </c>
    </row>
    <row r="77" spans="3:12" x14ac:dyDescent="0.25">
      <c r="C77" s="179"/>
      <c r="L77" s="243"/>
    </row>
    <row r="78" spans="3:12" x14ac:dyDescent="0.25">
      <c r="C78" s="244" t="s">
        <v>479</v>
      </c>
      <c r="D78" s="1124" t="s">
        <v>480</v>
      </c>
      <c r="E78" s="1124"/>
      <c r="F78" s="1124"/>
      <c r="G78" s="1124"/>
      <c r="H78" s="1124"/>
      <c r="I78" s="1124"/>
      <c r="J78" s="1124"/>
      <c r="K78" s="8" t="s">
        <v>42</v>
      </c>
      <c r="L78" s="245">
        <f>F81</f>
        <v>12</v>
      </c>
    </row>
    <row r="79" spans="3:12" x14ac:dyDescent="0.25">
      <c r="C79" s="179"/>
      <c r="D79" s="47"/>
      <c r="E79" s="47"/>
      <c r="F79" s="47"/>
      <c r="L79" s="243"/>
    </row>
    <row r="80" spans="3:12" x14ac:dyDescent="0.25">
      <c r="C80" s="180"/>
      <c r="D80" s="578" t="s">
        <v>604</v>
      </c>
      <c r="E80" s="578" t="s">
        <v>42</v>
      </c>
      <c r="F80" s="578" t="s">
        <v>77</v>
      </c>
      <c r="G80" s="36"/>
      <c r="L80" s="243"/>
    </row>
    <row r="81" spans="3:12" x14ac:dyDescent="0.25">
      <c r="C81" s="180"/>
      <c r="D81" s="68">
        <v>1</v>
      </c>
      <c r="E81" s="68">
        <v>12</v>
      </c>
      <c r="F81" s="68">
        <f>D81*E81</f>
        <v>12</v>
      </c>
      <c r="G81" s="36"/>
      <c r="L81" s="243"/>
    </row>
    <row r="82" spans="3:12" x14ac:dyDescent="0.25">
      <c r="C82" s="179"/>
      <c r="D82" s="25"/>
      <c r="E82" s="25"/>
      <c r="F82" s="25"/>
      <c r="L82" s="243"/>
    </row>
    <row r="83" spans="3:12" x14ac:dyDescent="0.25">
      <c r="C83" s="244" t="s">
        <v>298</v>
      </c>
      <c r="D83" s="1124" t="s">
        <v>299</v>
      </c>
      <c r="E83" s="1124"/>
      <c r="F83" s="1124"/>
      <c r="G83" s="1124"/>
      <c r="H83" s="1124"/>
      <c r="I83" s="1124"/>
      <c r="J83" s="1124"/>
      <c r="K83" s="8" t="s">
        <v>8</v>
      </c>
      <c r="L83" s="245">
        <f>D86</f>
        <v>18</v>
      </c>
    </row>
    <row r="84" spans="3:12" x14ac:dyDescent="0.25">
      <c r="C84" s="179"/>
      <c r="D84" s="47"/>
      <c r="L84" s="243"/>
    </row>
    <row r="85" spans="3:12" x14ac:dyDescent="0.25">
      <c r="C85" s="180"/>
      <c r="D85" s="579" t="s">
        <v>401</v>
      </c>
      <c r="E85" s="36"/>
      <c r="L85" s="243"/>
    </row>
    <row r="86" spans="3:12" x14ac:dyDescent="0.25">
      <c r="C86" s="180"/>
      <c r="D86" s="108">
        <v>18</v>
      </c>
      <c r="E86" s="36"/>
      <c r="L86" s="243"/>
    </row>
    <row r="87" spans="3:12" x14ac:dyDescent="0.25">
      <c r="C87" s="179"/>
      <c r="D87" s="25"/>
      <c r="L87" s="243"/>
    </row>
    <row r="88" spans="3:12" x14ac:dyDescent="0.25">
      <c r="C88" s="244" t="s">
        <v>349</v>
      </c>
      <c r="D88" s="1124" t="s">
        <v>350</v>
      </c>
      <c r="E88" s="1124"/>
      <c r="F88" s="1124"/>
      <c r="G88" s="1124"/>
      <c r="H88" s="1124"/>
      <c r="I88" s="1124"/>
      <c r="J88" s="1124"/>
      <c r="K88" s="8" t="s">
        <v>8</v>
      </c>
      <c r="L88" s="245">
        <f>D91</f>
        <v>10</v>
      </c>
    </row>
    <row r="89" spans="3:12" x14ac:dyDescent="0.25">
      <c r="C89" s="179"/>
      <c r="D89" s="47"/>
      <c r="L89" s="243"/>
    </row>
    <row r="90" spans="3:12" x14ac:dyDescent="0.25">
      <c r="C90" s="180"/>
      <c r="D90" s="579" t="s">
        <v>402</v>
      </c>
      <c r="E90" s="36"/>
      <c r="L90" s="243"/>
    </row>
    <row r="91" spans="3:12" x14ac:dyDescent="0.25">
      <c r="C91" s="180"/>
      <c r="D91" s="108">
        <v>10</v>
      </c>
      <c r="E91" s="36"/>
      <c r="L91" s="243"/>
    </row>
    <row r="92" spans="3:12" x14ac:dyDescent="0.25">
      <c r="C92" s="179"/>
      <c r="D92" s="25"/>
      <c r="L92" s="243"/>
    </row>
    <row r="93" spans="3:12" x14ac:dyDescent="0.25">
      <c r="C93" s="244" t="s">
        <v>394</v>
      </c>
      <c r="D93" s="1124" t="s">
        <v>396</v>
      </c>
      <c r="E93" s="1124"/>
      <c r="F93" s="1124"/>
      <c r="G93" s="1124"/>
      <c r="H93" s="1124"/>
      <c r="I93" s="1124"/>
      <c r="J93" s="1124"/>
      <c r="K93" s="8" t="s">
        <v>8</v>
      </c>
      <c r="L93" s="245">
        <f>D96</f>
        <v>9</v>
      </c>
    </row>
    <row r="94" spans="3:12" x14ac:dyDescent="0.25">
      <c r="C94" s="179"/>
      <c r="D94" s="47"/>
      <c r="L94" s="243"/>
    </row>
    <row r="95" spans="3:12" x14ac:dyDescent="0.25">
      <c r="C95" s="180"/>
      <c r="D95" s="579" t="s">
        <v>403</v>
      </c>
      <c r="E95" s="36"/>
      <c r="L95" s="243"/>
    </row>
    <row r="96" spans="3:12" x14ac:dyDescent="0.25">
      <c r="C96" s="180"/>
      <c r="D96" s="108">
        <v>9</v>
      </c>
      <c r="E96" s="36"/>
      <c r="L96" s="243"/>
    </row>
    <row r="97" spans="3:12" x14ac:dyDescent="0.25">
      <c r="C97" s="179"/>
      <c r="D97" s="25"/>
      <c r="L97" s="243"/>
    </row>
    <row r="98" spans="3:12" x14ac:dyDescent="0.25">
      <c r="C98" s="244" t="s">
        <v>395</v>
      </c>
      <c r="D98" s="1124" t="s">
        <v>397</v>
      </c>
      <c r="E98" s="1124"/>
      <c r="F98" s="1124"/>
      <c r="G98" s="1124"/>
      <c r="H98" s="1124"/>
      <c r="I98" s="1124"/>
      <c r="J98" s="1124"/>
      <c r="K98" s="8" t="s">
        <v>8</v>
      </c>
      <c r="L98" s="245">
        <f>D101</f>
        <v>9</v>
      </c>
    </row>
    <row r="99" spans="3:12" x14ac:dyDescent="0.25">
      <c r="C99" s="179"/>
      <c r="D99" s="47"/>
      <c r="L99" s="243"/>
    </row>
    <row r="100" spans="3:12" x14ac:dyDescent="0.25">
      <c r="C100" s="180"/>
      <c r="D100" s="579" t="s">
        <v>404</v>
      </c>
      <c r="E100" s="36"/>
      <c r="L100" s="243"/>
    </row>
    <row r="101" spans="3:12" x14ac:dyDescent="0.25">
      <c r="C101" s="180"/>
      <c r="D101" s="108">
        <v>9</v>
      </c>
      <c r="E101" s="36"/>
      <c r="L101" s="243"/>
    </row>
    <row r="102" spans="3:12" x14ac:dyDescent="0.25">
      <c r="C102" s="179"/>
      <c r="D102" s="25"/>
      <c r="L102" s="243"/>
    </row>
    <row r="103" spans="3:12" x14ac:dyDescent="0.25">
      <c r="C103" s="244" t="s">
        <v>392</v>
      </c>
      <c r="D103" s="1124" t="s">
        <v>393</v>
      </c>
      <c r="E103" s="1124"/>
      <c r="F103" s="1124"/>
      <c r="G103" s="1124"/>
      <c r="H103" s="1124"/>
      <c r="I103" s="1124"/>
      <c r="J103" s="1124"/>
      <c r="K103" s="8" t="s">
        <v>8</v>
      </c>
      <c r="L103" s="245">
        <f>E108</f>
        <v>175</v>
      </c>
    </row>
    <row r="104" spans="3:12" x14ac:dyDescent="0.25">
      <c r="C104" s="179"/>
      <c r="D104" s="47"/>
      <c r="E104" s="47"/>
      <c r="L104" s="243"/>
    </row>
    <row r="105" spans="3:12" x14ac:dyDescent="0.25">
      <c r="C105" s="180"/>
      <c r="D105" s="579" t="s">
        <v>405</v>
      </c>
      <c r="E105" s="579" t="s">
        <v>8</v>
      </c>
      <c r="F105" s="36"/>
      <c r="L105" s="243"/>
    </row>
    <row r="106" spans="3:12" x14ac:dyDescent="0.25">
      <c r="C106" s="180"/>
      <c r="D106" s="105" t="s">
        <v>406</v>
      </c>
      <c r="E106" s="107">
        <f>25*3</f>
        <v>75</v>
      </c>
      <c r="F106" s="36"/>
      <c r="L106" s="243"/>
    </row>
    <row r="107" spans="3:12" x14ac:dyDescent="0.25">
      <c r="C107" s="180"/>
      <c r="D107" s="105" t="s">
        <v>407</v>
      </c>
      <c r="E107" s="107">
        <f>25*4</f>
        <v>100</v>
      </c>
      <c r="F107" s="36"/>
      <c r="L107" s="243"/>
    </row>
    <row r="108" spans="3:12" x14ac:dyDescent="0.25">
      <c r="C108" s="180"/>
      <c r="D108" s="105" t="s">
        <v>217</v>
      </c>
      <c r="E108" s="107">
        <f>E106+E107</f>
        <v>175</v>
      </c>
      <c r="F108" s="36"/>
      <c r="L108" s="243"/>
    </row>
    <row r="109" spans="3:12" x14ac:dyDescent="0.25">
      <c r="C109" s="179"/>
      <c r="D109" s="25"/>
      <c r="E109" s="25"/>
      <c r="L109" s="243"/>
    </row>
    <row r="110" spans="3:12" x14ac:dyDescent="0.25">
      <c r="C110" s="244" t="s">
        <v>163</v>
      </c>
      <c r="D110" s="1124" t="s">
        <v>162</v>
      </c>
      <c r="E110" s="1124"/>
      <c r="F110" s="1124"/>
      <c r="G110" s="1124"/>
      <c r="H110" s="1124"/>
      <c r="I110" s="1124"/>
      <c r="J110" s="1124"/>
      <c r="K110" s="8" t="s">
        <v>8</v>
      </c>
      <c r="L110" s="245">
        <f>E113</f>
        <v>81</v>
      </c>
    </row>
    <row r="111" spans="3:12" x14ac:dyDescent="0.25">
      <c r="C111" s="179"/>
      <c r="D111" s="47"/>
      <c r="E111" s="47"/>
      <c r="L111" s="243"/>
    </row>
    <row r="112" spans="3:12" x14ac:dyDescent="0.25">
      <c r="C112" s="180"/>
      <c r="D112" s="579" t="s">
        <v>405</v>
      </c>
      <c r="E112" s="579" t="s">
        <v>8</v>
      </c>
      <c r="F112" s="36"/>
      <c r="L112" s="243"/>
    </row>
    <row r="113" spans="3:12" x14ac:dyDescent="0.25">
      <c r="C113" s="180"/>
      <c r="D113" s="105" t="s">
        <v>408</v>
      </c>
      <c r="E113" s="107">
        <f>27*3</f>
        <v>81</v>
      </c>
      <c r="F113" s="36"/>
      <c r="L113" s="243"/>
    </row>
    <row r="114" spans="3:12" x14ac:dyDescent="0.25">
      <c r="C114" s="179"/>
      <c r="D114" s="25"/>
      <c r="E114" s="25"/>
      <c r="L114" s="243"/>
    </row>
    <row r="115" spans="3:12" x14ac:dyDescent="0.25">
      <c r="C115" s="244" t="s">
        <v>301</v>
      </c>
      <c r="D115" s="1124" t="s">
        <v>302</v>
      </c>
      <c r="E115" s="1124"/>
      <c r="F115" s="1124"/>
      <c r="G115" s="1124"/>
      <c r="H115" s="1124"/>
      <c r="I115" s="1124"/>
      <c r="J115" s="1124"/>
      <c r="K115" s="8" t="s">
        <v>7</v>
      </c>
      <c r="L115" s="245">
        <f>E117</f>
        <v>11</v>
      </c>
    </row>
    <row r="116" spans="3:12" x14ac:dyDescent="0.25">
      <c r="C116" s="179"/>
      <c r="D116" s="47"/>
      <c r="E116" s="47"/>
      <c r="L116" s="243"/>
    </row>
    <row r="117" spans="3:12" x14ac:dyDescent="0.25">
      <c r="C117" s="180"/>
      <c r="D117" s="105" t="s">
        <v>410</v>
      </c>
      <c r="E117" s="107">
        <v>11</v>
      </c>
      <c r="F117" s="36"/>
      <c r="L117" s="243"/>
    </row>
    <row r="118" spans="3:12" x14ac:dyDescent="0.25">
      <c r="C118" s="179"/>
      <c r="D118" s="25"/>
      <c r="E118" s="25"/>
      <c r="L118" s="243"/>
    </row>
    <row r="119" spans="3:12" x14ac:dyDescent="0.25">
      <c r="C119" s="244" t="s">
        <v>246</v>
      </c>
      <c r="D119" s="1124" t="s">
        <v>247</v>
      </c>
      <c r="E119" s="1124"/>
      <c r="F119" s="1124"/>
      <c r="G119" s="1124"/>
      <c r="H119" s="1124"/>
      <c r="I119" s="1124"/>
      <c r="J119" s="1124"/>
      <c r="K119" s="8" t="s">
        <v>8</v>
      </c>
      <c r="L119" s="245">
        <f>E121</f>
        <v>130</v>
      </c>
    </row>
    <row r="120" spans="3:12" x14ac:dyDescent="0.25">
      <c r="C120" s="179"/>
      <c r="D120" s="47"/>
      <c r="E120" s="47"/>
      <c r="L120" s="243"/>
    </row>
    <row r="121" spans="3:12" x14ac:dyDescent="0.25">
      <c r="C121" s="180"/>
      <c r="D121" s="105" t="s">
        <v>411</v>
      </c>
      <c r="E121" s="235">
        <v>130</v>
      </c>
      <c r="F121" s="36"/>
      <c r="L121" s="243"/>
    </row>
    <row r="122" spans="3:12" x14ac:dyDescent="0.25">
      <c r="C122" s="179"/>
      <c r="D122" s="25"/>
      <c r="E122" s="25"/>
      <c r="L122" s="243"/>
    </row>
    <row r="123" spans="3:12" x14ac:dyDescent="0.25">
      <c r="C123" s="244" t="s">
        <v>438</v>
      </c>
      <c r="D123" s="1124" t="s">
        <v>439</v>
      </c>
      <c r="E123" s="1124"/>
      <c r="F123" s="1124"/>
      <c r="G123" s="1124"/>
      <c r="H123" s="1124"/>
      <c r="I123" s="1124"/>
      <c r="J123" s="1124"/>
      <c r="K123" s="8" t="s">
        <v>7</v>
      </c>
      <c r="L123" s="245">
        <f>G126</f>
        <v>20</v>
      </c>
    </row>
    <row r="124" spans="3:12" x14ac:dyDescent="0.25">
      <c r="C124" s="179"/>
      <c r="D124" s="47"/>
      <c r="E124" s="47"/>
      <c r="L124" s="243"/>
    </row>
    <row r="125" spans="3:12" x14ac:dyDescent="0.25">
      <c r="C125" s="180"/>
      <c r="D125" s="581" t="s">
        <v>313</v>
      </c>
      <c r="E125" s="72">
        <v>4</v>
      </c>
      <c r="F125" s="38"/>
      <c r="G125" s="39"/>
      <c r="L125" s="243"/>
    </row>
    <row r="126" spans="3:12" x14ac:dyDescent="0.25">
      <c r="C126" s="180"/>
      <c r="D126" s="581" t="s">
        <v>314</v>
      </c>
      <c r="E126" s="72">
        <v>4</v>
      </c>
      <c r="F126" s="217"/>
      <c r="G126" s="72">
        <f>SUM(E125:E129)</f>
        <v>20</v>
      </c>
      <c r="H126" s="36"/>
      <c r="L126" s="243"/>
    </row>
    <row r="127" spans="3:12" x14ac:dyDescent="0.25">
      <c r="C127" s="180"/>
      <c r="D127" s="581" t="s">
        <v>603</v>
      </c>
      <c r="E127" s="72">
        <v>4</v>
      </c>
      <c r="F127" s="236"/>
      <c r="G127" s="39"/>
      <c r="L127" s="243"/>
    </row>
    <row r="128" spans="3:12" x14ac:dyDescent="0.25">
      <c r="C128" s="180"/>
      <c r="D128" s="581" t="s">
        <v>312</v>
      </c>
      <c r="E128" s="72">
        <v>4</v>
      </c>
      <c r="F128" s="237"/>
      <c r="L128" s="243"/>
    </row>
    <row r="129" spans="3:12" x14ac:dyDescent="0.25">
      <c r="C129" s="180"/>
      <c r="D129" s="581" t="s">
        <v>315</v>
      </c>
      <c r="E129" s="72">
        <v>4</v>
      </c>
      <c r="F129" s="38"/>
      <c r="G129" s="39"/>
      <c r="L129" s="243"/>
    </row>
    <row r="130" spans="3:12" x14ac:dyDescent="0.25">
      <c r="C130" s="179"/>
      <c r="D130" s="25"/>
      <c r="E130" s="25"/>
      <c r="L130" s="243"/>
    </row>
    <row r="131" spans="3:12" x14ac:dyDescent="0.25">
      <c r="C131" s="244" t="s">
        <v>440</v>
      </c>
      <c r="D131" s="1124" t="s">
        <v>441</v>
      </c>
      <c r="E131" s="1124"/>
      <c r="F131" s="1124"/>
      <c r="G131" s="1124"/>
      <c r="H131" s="1124"/>
      <c r="I131" s="1124"/>
      <c r="J131" s="1124"/>
      <c r="K131" s="8" t="s">
        <v>7</v>
      </c>
      <c r="L131" s="245">
        <f>E133</f>
        <v>19</v>
      </c>
    </row>
    <row r="132" spans="3:12" x14ac:dyDescent="0.25">
      <c r="C132" s="179"/>
      <c r="D132" s="47"/>
      <c r="E132" s="47"/>
      <c r="L132" s="243"/>
    </row>
    <row r="133" spans="3:12" x14ac:dyDescent="0.25">
      <c r="C133" s="180"/>
      <c r="D133" s="581" t="s">
        <v>603</v>
      </c>
      <c r="E133" s="72">
        <v>19</v>
      </c>
      <c r="F133" s="36"/>
      <c r="L133" s="243"/>
    </row>
    <row r="134" spans="3:12" x14ac:dyDescent="0.25">
      <c r="C134" s="179"/>
      <c r="D134" s="25"/>
      <c r="E134" s="25"/>
      <c r="L134" s="243"/>
    </row>
    <row r="135" spans="3:12" x14ac:dyDescent="0.25">
      <c r="C135" s="244" t="s">
        <v>68</v>
      </c>
      <c r="D135" s="1124" t="s">
        <v>69</v>
      </c>
      <c r="E135" s="1124"/>
      <c r="F135" s="1124"/>
      <c r="G135" s="1124"/>
      <c r="H135" s="1124"/>
      <c r="I135" s="1124"/>
      <c r="J135" s="1124"/>
      <c r="K135" s="8" t="s">
        <v>7</v>
      </c>
      <c r="L135" s="245">
        <f>E140</f>
        <v>2</v>
      </c>
    </row>
    <row r="136" spans="3:12" x14ac:dyDescent="0.25">
      <c r="C136" s="179"/>
      <c r="D136" s="47"/>
      <c r="E136" s="47"/>
      <c r="L136" s="243"/>
    </row>
    <row r="137" spans="3:12" x14ac:dyDescent="0.25">
      <c r="C137" s="180"/>
      <c r="D137" s="581" t="s">
        <v>106</v>
      </c>
      <c r="E137" s="581" t="s">
        <v>78</v>
      </c>
      <c r="F137" s="36"/>
      <c r="L137" s="243"/>
    </row>
    <row r="138" spans="3:12" x14ac:dyDescent="0.25">
      <c r="C138" s="180"/>
      <c r="D138" s="238" t="s">
        <v>374</v>
      </c>
      <c r="E138" s="239">
        <v>1</v>
      </c>
      <c r="F138" s="36"/>
      <c r="L138" s="243"/>
    </row>
    <row r="139" spans="3:12" x14ac:dyDescent="0.25">
      <c r="C139" s="180"/>
      <c r="D139" s="238" t="s">
        <v>212</v>
      </c>
      <c r="E139" s="239">
        <v>1</v>
      </c>
      <c r="F139" s="36"/>
      <c r="L139" s="243"/>
    </row>
    <row r="140" spans="3:12" x14ac:dyDescent="0.25">
      <c r="C140" s="180"/>
      <c r="D140" s="238" t="s">
        <v>217</v>
      </c>
      <c r="E140" s="239">
        <f>E138+E139</f>
        <v>2</v>
      </c>
      <c r="F140" s="36"/>
      <c r="L140" s="243"/>
    </row>
    <row r="141" spans="3:12" x14ac:dyDescent="0.25">
      <c r="C141" s="179"/>
      <c r="D141" s="25"/>
      <c r="E141" s="25"/>
      <c r="L141" s="243"/>
    </row>
    <row r="142" spans="3:12" x14ac:dyDescent="0.25">
      <c r="C142" s="244" t="s">
        <v>70</v>
      </c>
      <c r="D142" s="1124" t="s">
        <v>71</v>
      </c>
      <c r="E142" s="1124"/>
      <c r="F142" s="1124"/>
      <c r="G142" s="1124"/>
      <c r="H142" s="1124"/>
      <c r="I142" s="1124"/>
      <c r="J142" s="1124"/>
      <c r="K142" s="8" t="s">
        <v>8</v>
      </c>
      <c r="L142" s="245">
        <f>F144</f>
        <v>90</v>
      </c>
    </row>
    <row r="143" spans="3:12" x14ac:dyDescent="0.25">
      <c r="C143" s="179"/>
      <c r="D143" s="47"/>
      <c r="E143" s="47"/>
      <c r="F143" s="47"/>
      <c r="L143" s="243"/>
    </row>
    <row r="144" spans="3:12" x14ac:dyDescent="0.25">
      <c r="C144" s="180"/>
      <c r="D144" s="107">
        <v>30</v>
      </c>
      <c r="E144" s="107">
        <v>3</v>
      </c>
      <c r="F144" s="107">
        <f>D144*E144</f>
        <v>90</v>
      </c>
      <c r="G144" s="36"/>
      <c r="L144" s="243"/>
    </row>
    <row r="145" spans="3:12" x14ac:dyDescent="0.25">
      <c r="C145" s="179"/>
      <c r="D145" s="25"/>
      <c r="E145" s="25"/>
      <c r="F145" s="25"/>
      <c r="L145" s="243"/>
    </row>
    <row r="146" spans="3:12" x14ac:dyDescent="0.25">
      <c r="C146" s="244" t="s">
        <v>49</v>
      </c>
      <c r="D146" s="1124" t="s">
        <v>231</v>
      </c>
      <c r="E146" s="1124"/>
      <c r="F146" s="1124"/>
      <c r="G146" s="1124"/>
      <c r="H146" s="1124"/>
      <c r="I146" s="1124"/>
      <c r="J146" s="1124"/>
      <c r="K146" s="8" t="s">
        <v>7</v>
      </c>
      <c r="L146" s="245">
        <f>E151</f>
        <v>3</v>
      </c>
    </row>
    <row r="147" spans="3:12" x14ac:dyDescent="0.25">
      <c r="C147" s="179"/>
      <c r="D147" s="47"/>
      <c r="E147" s="47"/>
      <c r="L147" s="243"/>
    </row>
    <row r="148" spans="3:12" x14ac:dyDescent="0.25">
      <c r="C148" s="180"/>
      <c r="D148" s="105" t="s">
        <v>380</v>
      </c>
      <c r="E148" s="107">
        <v>1</v>
      </c>
      <c r="F148" s="36"/>
      <c r="L148" s="243"/>
    </row>
    <row r="149" spans="3:12" x14ac:dyDescent="0.25">
      <c r="C149" s="180"/>
      <c r="D149" s="105" t="s">
        <v>205</v>
      </c>
      <c r="E149" s="107">
        <v>1</v>
      </c>
      <c r="F149" s="36"/>
      <c r="L149" s="243"/>
    </row>
    <row r="150" spans="3:12" x14ac:dyDescent="0.25">
      <c r="C150" s="180"/>
      <c r="D150" s="105" t="s">
        <v>379</v>
      </c>
      <c r="E150" s="107">
        <v>1</v>
      </c>
      <c r="F150" s="36"/>
      <c r="L150" s="243"/>
    </row>
    <row r="151" spans="3:12" x14ac:dyDescent="0.25">
      <c r="C151" s="180"/>
      <c r="D151" s="105" t="s">
        <v>217</v>
      </c>
      <c r="E151" s="107">
        <f>E148+E149+E150</f>
        <v>3</v>
      </c>
      <c r="F151" s="36"/>
      <c r="L151" s="243"/>
    </row>
    <row r="152" spans="3:12" x14ac:dyDescent="0.25">
      <c r="C152" s="179"/>
      <c r="D152" s="25"/>
      <c r="E152" s="25"/>
      <c r="L152" s="243"/>
    </row>
    <row r="153" spans="3:12" x14ac:dyDescent="0.25">
      <c r="C153" s="244" t="s">
        <v>229</v>
      </c>
      <c r="D153" s="1124" t="s">
        <v>230</v>
      </c>
      <c r="E153" s="1124"/>
      <c r="F153" s="1124"/>
      <c r="G153" s="1124"/>
      <c r="H153" s="1124"/>
      <c r="I153" s="1124"/>
      <c r="J153" s="1124"/>
      <c r="K153" s="8" t="s">
        <v>7</v>
      </c>
      <c r="L153" s="245">
        <f>G155</f>
        <v>10</v>
      </c>
    </row>
    <row r="154" spans="3:12" x14ac:dyDescent="0.25">
      <c r="C154" s="179"/>
      <c r="D154" s="47"/>
      <c r="E154" s="47"/>
      <c r="F154" s="47"/>
      <c r="G154" s="47"/>
      <c r="L154" s="243"/>
    </row>
    <row r="155" spans="3:12" x14ac:dyDescent="0.25">
      <c r="C155" s="180"/>
      <c r="D155" s="1125" t="s">
        <v>228</v>
      </c>
      <c r="E155" s="1125"/>
      <c r="F155" s="1125"/>
      <c r="G155" s="72">
        <f>3*3+1</f>
        <v>10</v>
      </c>
      <c r="H155" s="36"/>
      <c r="L155" s="243"/>
    </row>
    <row r="156" spans="3:12" x14ac:dyDescent="0.25">
      <c r="C156" s="179"/>
      <c r="D156" s="25"/>
      <c r="E156" s="25"/>
      <c r="F156" s="25"/>
      <c r="G156" s="25"/>
      <c r="L156" s="243"/>
    </row>
    <row r="157" spans="3:12" x14ac:dyDescent="0.25">
      <c r="C157" s="244" t="s">
        <v>252</v>
      </c>
      <c r="D157" s="1124" t="s">
        <v>251</v>
      </c>
      <c r="E157" s="1124"/>
      <c r="F157" s="1124"/>
      <c r="G157" s="1124"/>
      <c r="H157" s="1124"/>
      <c r="I157" s="1124"/>
      <c r="J157" s="1124"/>
      <c r="K157" s="8" t="s">
        <v>8</v>
      </c>
      <c r="L157" s="245">
        <f>F159</f>
        <v>22</v>
      </c>
    </row>
    <row r="158" spans="3:12" x14ac:dyDescent="0.25">
      <c r="C158" s="179"/>
      <c r="D158" s="47"/>
      <c r="E158" s="47"/>
      <c r="F158" s="47"/>
      <c r="L158" s="243"/>
    </row>
    <row r="159" spans="3:12" x14ac:dyDescent="0.25">
      <c r="C159" s="180"/>
      <c r="D159" s="107">
        <v>22</v>
      </c>
      <c r="E159" s="107">
        <v>1</v>
      </c>
      <c r="F159" s="107">
        <f>D159*E159</f>
        <v>22</v>
      </c>
      <c r="G159" s="36"/>
      <c r="L159" s="243"/>
    </row>
    <row r="160" spans="3:12" x14ac:dyDescent="0.25">
      <c r="C160" s="179"/>
      <c r="D160" s="25"/>
      <c r="E160" s="25"/>
      <c r="F160" s="25"/>
      <c r="L160" s="243"/>
    </row>
    <row r="161" spans="3:12" x14ac:dyDescent="0.25">
      <c r="C161" s="244" t="s">
        <v>519</v>
      </c>
      <c r="D161" s="1124" t="s">
        <v>520</v>
      </c>
      <c r="E161" s="1124"/>
      <c r="F161" s="1124"/>
      <c r="G161" s="1124"/>
      <c r="H161" s="1124"/>
      <c r="I161" s="1124"/>
      <c r="J161" s="1124"/>
      <c r="K161" s="8" t="s">
        <v>6</v>
      </c>
      <c r="L161" s="245">
        <f>F163</f>
        <v>15</v>
      </c>
    </row>
    <row r="162" spans="3:12" x14ac:dyDescent="0.25">
      <c r="C162" s="179"/>
      <c r="D162" s="47"/>
      <c r="E162" s="47"/>
      <c r="F162" s="47"/>
      <c r="L162" s="243"/>
    </row>
    <row r="163" spans="3:12" x14ac:dyDescent="0.25">
      <c r="C163" s="180"/>
      <c r="D163" s="581" t="s">
        <v>605</v>
      </c>
      <c r="E163" s="581" t="s">
        <v>606</v>
      </c>
      <c r="F163" s="72">
        <f>(1*1*1.5)*10</f>
        <v>15</v>
      </c>
      <c r="G163" s="36"/>
      <c r="L163" s="243"/>
    </row>
    <row r="164" spans="3:12" x14ac:dyDescent="0.25">
      <c r="C164" s="179"/>
      <c r="D164" s="25"/>
      <c r="E164" s="25"/>
      <c r="F164" s="25"/>
      <c r="L164" s="243"/>
    </row>
    <row r="165" spans="3:12" x14ac:dyDescent="0.25">
      <c r="C165" s="244" t="s">
        <v>521</v>
      </c>
      <c r="D165" s="1124" t="s">
        <v>522</v>
      </c>
      <c r="E165" s="1124"/>
      <c r="F165" s="1124"/>
      <c r="G165" s="1124"/>
      <c r="H165" s="1124"/>
      <c r="I165" s="1124"/>
      <c r="J165" s="1124"/>
      <c r="K165" s="8" t="s">
        <v>6</v>
      </c>
      <c r="L165" s="245">
        <f>H167</f>
        <v>11.4145</v>
      </c>
    </row>
    <row r="166" spans="3:12" x14ac:dyDescent="0.25">
      <c r="C166" s="179"/>
      <c r="D166" s="47"/>
      <c r="E166" s="47"/>
      <c r="F166" s="47"/>
      <c r="H166" s="47"/>
      <c r="L166" s="243"/>
    </row>
    <row r="167" spans="3:12" x14ac:dyDescent="0.25">
      <c r="C167" s="180"/>
      <c r="D167" s="105" t="s">
        <v>607</v>
      </c>
      <c r="E167" s="105" t="s">
        <v>608</v>
      </c>
      <c r="F167" s="105">
        <f>(1*1*1.15)*10</f>
        <v>11.5</v>
      </c>
      <c r="G167" s="93"/>
      <c r="H167" s="107">
        <f>F167-H169</f>
        <v>11.4145</v>
      </c>
      <c r="I167" s="36"/>
      <c r="L167" s="243"/>
    </row>
    <row r="168" spans="3:12" x14ac:dyDescent="0.25">
      <c r="C168" s="180"/>
      <c r="D168" s="105" t="s">
        <v>609</v>
      </c>
      <c r="E168" s="105" t="s">
        <v>610</v>
      </c>
      <c r="F168" s="105">
        <f>0.3*0.15*1.2</f>
        <v>5.3999999999999999E-2</v>
      </c>
      <c r="G168" s="36"/>
      <c r="H168" s="39"/>
      <c r="L168" s="243"/>
    </row>
    <row r="169" spans="3:12" x14ac:dyDescent="0.25">
      <c r="C169" s="180"/>
      <c r="D169" s="105" t="s">
        <v>609</v>
      </c>
      <c r="E169" s="105" t="s">
        <v>611</v>
      </c>
      <c r="F169" s="105">
        <f>0.3*0.15*0.7</f>
        <v>3.15E-2</v>
      </c>
      <c r="G169" s="93"/>
      <c r="H169" s="105">
        <f>F168+F169</f>
        <v>8.5499999999999993E-2</v>
      </c>
      <c r="I169" s="36"/>
      <c r="L169" s="243"/>
    </row>
    <row r="170" spans="3:12" x14ac:dyDescent="0.25">
      <c r="C170" s="179"/>
      <c r="D170" s="25"/>
      <c r="E170" s="25"/>
      <c r="F170" s="25"/>
      <c r="H170" s="25"/>
      <c r="L170" s="243"/>
    </row>
    <row r="171" spans="3:12" x14ac:dyDescent="0.25">
      <c r="C171" s="244" t="s">
        <v>523</v>
      </c>
      <c r="D171" s="1124" t="s">
        <v>524</v>
      </c>
      <c r="E171" s="1124"/>
      <c r="F171" s="1124"/>
      <c r="G171" s="1124"/>
      <c r="H171" s="1124"/>
      <c r="I171" s="1124"/>
      <c r="J171" s="1124"/>
      <c r="K171" s="8" t="s">
        <v>6</v>
      </c>
      <c r="L171" s="245">
        <f>E179</f>
        <v>11.33</v>
      </c>
    </row>
    <row r="172" spans="3:12" x14ac:dyDescent="0.25">
      <c r="C172" s="179"/>
      <c r="D172" s="47"/>
      <c r="E172" s="47"/>
      <c r="L172" s="243"/>
    </row>
    <row r="173" spans="3:12" x14ac:dyDescent="0.25">
      <c r="C173" s="180"/>
      <c r="D173" s="581" t="s">
        <v>612</v>
      </c>
      <c r="E173" s="72">
        <v>1.22</v>
      </c>
      <c r="F173" s="36"/>
      <c r="L173" s="243"/>
    </row>
    <row r="174" spans="3:12" x14ac:dyDescent="0.25">
      <c r="C174" s="180"/>
      <c r="D174" s="581" t="s">
        <v>613</v>
      </c>
      <c r="E174" s="72">
        <v>1.68</v>
      </c>
      <c r="F174" s="36"/>
      <c r="L174" s="243"/>
    </row>
    <row r="175" spans="3:12" x14ac:dyDescent="0.25">
      <c r="C175" s="180"/>
      <c r="D175" s="581" t="s">
        <v>609</v>
      </c>
      <c r="E175" s="72">
        <v>1.08</v>
      </c>
      <c r="F175" s="36"/>
      <c r="L175" s="243"/>
    </row>
    <row r="176" spans="3:12" x14ac:dyDescent="0.25">
      <c r="C176" s="180"/>
      <c r="D176" s="581" t="s">
        <v>614</v>
      </c>
      <c r="E176" s="72">
        <f>2.35</f>
        <v>2.35</v>
      </c>
      <c r="F176" s="36"/>
      <c r="L176" s="243"/>
    </row>
    <row r="177" spans="3:12" x14ac:dyDescent="0.25">
      <c r="C177" s="180"/>
      <c r="D177" s="581" t="s">
        <v>615</v>
      </c>
      <c r="E177" s="72">
        <v>0.45</v>
      </c>
      <c r="F177" s="36"/>
      <c r="L177" s="243"/>
    </row>
    <row r="178" spans="3:12" x14ac:dyDescent="0.25">
      <c r="C178" s="180"/>
      <c r="D178" s="581" t="s">
        <v>616</v>
      </c>
      <c r="E178" s="72">
        <v>4.55</v>
      </c>
      <c r="F178" s="36"/>
      <c r="L178" s="243"/>
    </row>
    <row r="179" spans="3:12" x14ac:dyDescent="0.25">
      <c r="C179" s="180"/>
      <c r="D179" s="581" t="s">
        <v>217</v>
      </c>
      <c r="E179" s="72">
        <f>SUM(E173:E178)</f>
        <v>11.33</v>
      </c>
      <c r="F179" s="36"/>
      <c r="L179" s="243"/>
    </row>
    <row r="180" spans="3:12" x14ac:dyDescent="0.25">
      <c r="C180" s="179"/>
      <c r="D180" s="25"/>
      <c r="E180" s="25"/>
      <c r="L180" s="243"/>
    </row>
    <row r="181" spans="3:12" x14ac:dyDescent="0.25">
      <c r="C181" s="244" t="s">
        <v>525</v>
      </c>
      <c r="D181" s="1124" t="s">
        <v>526</v>
      </c>
      <c r="E181" s="1124"/>
      <c r="F181" s="1124"/>
      <c r="G181" s="1124"/>
      <c r="H181" s="1124"/>
      <c r="I181" s="1124"/>
      <c r="J181" s="1124"/>
      <c r="K181" s="8" t="s">
        <v>5</v>
      </c>
      <c r="L181" s="245">
        <f>E183</f>
        <v>43.1</v>
      </c>
    </row>
    <row r="182" spans="3:12" x14ac:dyDescent="0.25">
      <c r="C182" s="179"/>
      <c r="D182" s="47"/>
      <c r="E182" s="47"/>
      <c r="L182" s="243"/>
    </row>
    <row r="183" spans="3:12" x14ac:dyDescent="0.25">
      <c r="C183" s="180"/>
      <c r="D183" s="581" t="s">
        <v>617</v>
      </c>
      <c r="E183" s="72">
        <v>43.1</v>
      </c>
      <c r="F183" s="36"/>
      <c r="L183" s="243"/>
    </row>
    <row r="184" spans="3:12" x14ac:dyDescent="0.25">
      <c r="C184" s="179"/>
      <c r="D184" s="25"/>
      <c r="E184" s="25"/>
      <c r="L184" s="243"/>
    </row>
    <row r="185" spans="3:12" x14ac:dyDescent="0.25">
      <c r="C185" s="244" t="s">
        <v>527</v>
      </c>
      <c r="D185" s="1124" t="s">
        <v>528</v>
      </c>
      <c r="E185" s="1124"/>
      <c r="F185" s="1124"/>
      <c r="G185" s="1124"/>
      <c r="H185" s="1124"/>
      <c r="I185" s="1124"/>
      <c r="J185" s="1124"/>
      <c r="K185" s="8" t="s">
        <v>5</v>
      </c>
      <c r="L185" s="245">
        <f>G188</f>
        <v>8.8872</v>
      </c>
    </row>
    <row r="186" spans="3:12" x14ac:dyDescent="0.25">
      <c r="C186" s="179"/>
      <c r="D186" s="47"/>
      <c r="E186" s="47"/>
      <c r="F186" s="47"/>
      <c r="G186" s="47"/>
      <c r="L186" s="243"/>
    </row>
    <row r="187" spans="3:12" x14ac:dyDescent="0.25">
      <c r="C187" s="180"/>
      <c r="D187" s="581" t="s">
        <v>106</v>
      </c>
      <c r="E187" s="581" t="s">
        <v>618</v>
      </c>
      <c r="F187" s="581" t="s">
        <v>155</v>
      </c>
      <c r="G187" s="581" t="s">
        <v>77</v>
      </c>
      <c r="H187" s="36"/>
      <c r="L187" s="243"/>
    </row>
    <row r="188" spans="3:12" x14ac:dyDescent="0.25">
      <c r="C188" s="180"/>
      <c r="D188" s="581" t="s">
        <v>619</v>
      </c>
      <c r="E188" s="72">
        <f>0.42*0.92</f>
        <v>0.38640000000000002</v>
      </c>
      <c r="F188" s="72">
        <v>23</v>
      </c>
      <c r="G188" s="72">
        <f>E188*F188</f>
        <v>8.8872</v>
      </c>
      <c r="H188" s="36"/>
      <c r="L188" s="243"/>
    </row>
    <row r="189" spans="3:12" x14ac:dyDescent="0.25">
      <c r="C189" s="179"/>
      <c r="D189" s="25"/>
      <c r="E189" s="25"/>
      <c r="F189" s="25"/>
      <c r="G189" s="25"/>
      <c r="L189" s="243"/>
    </row>
    <row r="190" spans="3:12" x14ac:dyDescent="0.25">
      <c r="C190" s="244" t="s">
        <v>529</v>
      </c>
      <c r="D190" s="1124" t="s">
        <v>530</v>
      </c>
      <c r="E190" s="1124"/>
      <c r="F190" s="1124"/>
      <c r="G190" s="1124"/>
      <c r="H190" s="1124"/>
      <c r="I190" s="1124"/>
      <c r="J190" s="1124"/>
      <c r="K190" s="8" t="s">
        <v>5</v>
      </c>
      <c r="L190" s="245">
        <f>E193</f>
        <v>16.760000000000002</v>
      </c>
    </row>
    <row r="191" spans="3:12" x14ac:dyDescent="0.25">
      <c r="C191" s="179"/>
      <c r="D191" s="47"/>
      <c r="E191" s="47"/>
      <c r="L191" s="243"/>
    </row>
    <row r="192" spans="3:12" x14ac:dyDescent="0.25">
      <c r="C192" s="180"/>
      <c r="D192" s="105" t="s">
        <v>106</v>
      </c>
      <c r="E192" s="105" t="s">
        <v>5</v>
      </c>
      <c r="F192" s="36"/>
      <c r="L192" s="243"/>
    </row>
    <row r="193" spans="3:12" x14ac:dyDescent="0.25">
      <c r="C193" s="180"/>
      <c r="D193" s="105" t="s">
        <v>386</v>
      </c>
      <c r="E193" s="105">
        <v>16.760000000000002</v>
      </c>
      <c r="F193" s="36"/>
      <c r="L193" s="243"/>
    </row>
    <row r="194" spans="3:12" x14ac:dyDescent="0.25">
      <c r="C194" s="179"/>
      <c r="D194" s="25"/>
      <c r="E194" s="25"/>
      <c r="L194" s="243"/>
    </row>
    <row r="195" spans="3:12" x14ac:dyDescent="0.25">
      <c r="C195" s="244" t="s">
        <v>73</v>
      </c>
      <c r="D195" s="1124" t="s">
        <v>74</v>
      </c>
      <c r="E195" s="1124"/>
      <c r="F195" s="1124"/>
      <c r="G195" s="1124"/>
      <c r="H195" s="1124"/>
      <c r="I195" s="1124"/>
      <c r="J195" s="1124"/>
      <c r="K195" s="8" t="s">
        <v>5</v>
      </c>
      <c r="L195" s="245">
        <f>E222</f>
        <v>307.44</v>
      </c>
    </row>
    <row r="196" spans="3:12" x14ac:dyDescent="0.25">
      <c r="C196" s="179"/>
      <c r="D196" s="47"/>
      <c r="E196" s="47"/>
      <c r="L196" s="243"/>
    </row>
    <row r="197" spans="3:12" x14ac:dyDescent="0.25">
      <c r="C197" s="180"/>
      <c r="D197" s="238" t="s">
        <v>106</v>
      </c>
      <c r="E197" s="238" t="s">
        <v>218</v>
      </c>
      <c r="F197" s="36"/>
      <c r="L197" s="243"/>
    </row>
    <row r="198" spans="3:12" x14ac:dyDescent="0.25">
      <c r="C198" s="180"/>
      <c r="D198" s="581" t="s">
        <v>195</v>
      </c>
      <c r="E198" s="239">
        <v>6.76</v>
      </c>
      <c r="F198" s="36"/>
      <c r="L198" s="243"/>
    </row>
    <row r="199" spans="3:12" x14ac:dyDescent="0.25">
      <c r="C199" s="180"/>
      <c r="D199" s="581" t="s">
        <v>193</v>
      </c>
      <c r="E199" s="239">
        <v>95.84</v>
      </c>
      <c r="F199" s="36"/>
      <c r="L199" s="243"/>
    </row>
    <row r="200" spans="3:12" x14ac:dyDescent="0.25">
      <c r="C200" s="180"/>
      <c r="D200" s="581" t="s">
        <v>194</v>
      </c>
      <c r="E200" s="239">
        <v>18</v>
      </c>
      <c r="F200" s="36"/>
      <c r="L200" s="243"/>
    </row>
    <row r="201" spans="3:12" x14ac:dyDescent="0.25">
      <c r="C201" s="180"/>
      <c r="D201" s="581" t="s">
        <v>196</v>
      </c>
      <c r="E201" s="239">
        <v>12.1</v>
      </c>
      <c r="F201" s="36"/>
      <c r="L201" s="243"/>
    </row>
    <row r="202" spans="3:12" x14ac:dyDescent="0.25">
      <c r="C202" s="180"/>
      <c r="D202" s="581" t="s">
        <v>197</v>
      </c>
      <c r="E202" s="239">
        <v>4</v>
      </c>
      <c r="F202" s="36"/>
      <c r="L202" s="243"/>
    </row>
    <row r="203" spans="3:12" x14ac:dyDescent="0.25">
      <c r="C203" s="180"/>
      <c r="D203" s="581" t="s">
        <v>198</v>
      </c>
      <c r="E203" s="239">
        <v>4.49</v>
      </c>
      <c r="F203" s="36"/>
      <c r="L203" s="243"/>
    </row>
    <row r="204" spans="3:12" x14ac:dyDescent="0.25">
      <c r="C204" s="180"/>
      <c r="D204" s="581" t="s">
        <v>101</v>
      </c>
      <c r="E204" s="239">
        <v>2.1</v>
      </c>
      <c r="F204" s="36"/>
      <c r="L204" s="243"/>
    </row>
    <row r="205" spans="3:12" x14ac:dyDescent="0.25">
      <c r="C205" s="180"/>
      <c r="D205" s="581" t="s">
        <v>102</v>
      </c>
      <c r="E205" s="239">
        <v>4.57</v>
      </c>
      <c r="F205" s="36"/>
      <c r="L205" s="243"/>
    </row>
    <row r="206" spans="3:12" x14ac:dyDescent="0.25">
      <c r="C206" s="180"/>
      <c r="D206" s="581" t="s">
        <v>199</v>
      </c>
      <c r="E206" s="239">
        <v>41.31</v>
      </c>
      <c r="F206" s="36"/>
      <c r="L206" s="243"/>
    </row>
    <row r="207" spans="3:12" x14ac:dyDescent="0.25">
      <c r="C207" s="180"/>
      <c r="D207" s="581" t="s">
        <v>200</v>
      </c>
      <c r="E207" s="239">
        <v>5.41</v>
      </c>
      <c r="F207" s="36"/>
      <c r="L207" s="243"/>
    </row>
    <row r="208" spans="3:12" x14ac:dyDescent="0.25">
      <c r="C208" s="180"/>
      <c r="D208" s="581" t="s">
        <v>201</v>
      </c>
      <c r="E208" s="239">
        <v>2.1</v>
      </c>
      <c r="F208" s="36"/>
      <c r="L208" s="243"/>
    </row>
    <row r="209" spans="3:12" x14ac:dyDescent="0.25">
      <c r="C209" s="180"/>
      <c r="D209" s="581" t="s">
        <v>202</v>
      </c>
      <c r="E209" s="239">
        <v>7.85</v>
      </c>
      <c r="F209" s="36"/>
      <c r="L209" s="243"/>
    </row>
    <row r="210" spans="3:12" x14ac:dyDescent="0.25">
      <c r="C210" s="180"/>
      <c r="D210" s="581" t="s">
        <v>203</v>
      </c>
      <c r="E210" s="239">
        <v>1.57</v>
      </c>
      <c r="F210" s="36"/>
      <c r="L210" s="243"/>
    </row>
    <row r="211" spans="3:12" x14ac:dyDescent="0.25">
      <c r="C211" s="180"/>
      <c r="D211" s="581" t="s">
        <v>204</v>
      </c>
      <c r="E211" s="239">
        <v>1.57</v>
      </c>
      <c r="F211" s="36"/>
      <c r="L211" s="243"/>
    </row>
    <row r="212" spans="3:12" x14ac:dyDescent="0.25">
      <c r="C212" s="180"/>
      <c r="D212" s="581" t="s">
        <v>205</v>
      </c>
      <c r="E212" s="239">
        <v>13.08</v>
      </c>
      <c r="F212" s="36"/>
      <c r="L212" s="243"/>
    </row>
    <row r="213" spans="3:12" x14ac:dyDescent="0.25">
      <c r="C213" s="180"/>
      <c r="D213" s="581" t="s">
        <v>206</v>
      </c>
      <c r="E213" s="239">
        <v>3.59</v>
      </c>
      <c r="F213" s="36"/>
      <c r="L213" s="243"/>
    </row>
    <row r="214" spans="3:12" x14ac:dyDescent="0.25">
      <c r="C214" s="180"/>
      <c r="D214" s="581" t="s">
        <v>207</v>
      </c>
      <c r="E214" s="239">
        <v>9.8800000000000008</v>
      </c>
      <c r="F214" s="36"/>
      <c r="L214" s="243"/>
    </row>
    <row r="215" spans="3:12" x14ac:dyDescent="0.25">
      <c r="C215" s="180"/>
      <c r="D215" s="581" t="s">
        <v>208</v>
      </c>
      <c r="E215" s="239">
        <v>3.41</v>
      </c>
      <c r="F215" s="36"/>
      <c r="L215" s="243"/>
    </row>
    <row r="216" spans="3:12" x14ac:dyDescent="0.25">
      <c r="C216" s="180"/>
      <c r="D216" s="581" t="s">
        <v>209</v>
      </c>
      <c r="E216" s="239">
        <v>9.84</v>
      </c>
      <c r="F216" s="36"/>
      <c r="L216" s="243"/>
    </row>
    <row r="217" spans="3:12" x14ac:dyDescent="0.25">
      <c r="C217" s="180"/>
      <c r="D217" s="581" t="s">
        <v>210</v>
      </c>
      <c r="E217" s="239">
        <v>9.84</v>
      </c>
      <c r="F217" s="36"/>
      <c r="L217" s="243"/>
    </row>
    <row r="218" spans="3:12" x14ac:dyDescent="0.25">
      <c r="C218" s="180"/>
      <c r="D218" s="581" t="s">
        <v>211</v>
      </c>
      <c r="E218" s="239">
        <v>25.38</v>
      </c>
      <c r="F218" s="36"/>
      <c r="L218" s="243"/>
    </row>
    <row r="219" spans="3:12" x14ac:dyDescent="0.25">
      <c r="C219" s="180"/>
      <c r="D219" s="581" t="s">
        <v>212</v>
      </c>
      <c r="E219" s="239">
        <v>15.81</v>
      </c>
      <c r="F219" s="36"/>
      <c r="L219" s="243"/>
    </row>
    <row r="220" spans="3:12" x14ac:dyDescent="0.25">
      <c r="C220" s="180"/>
      <c r="D220" s="581" t="s">
        <v>213</v>
      </c>
      <c r="E220" s="239">
        <v>4.76</v>
      </c>
      <c r="F220" s="36"/>
      <c r="L220" s="243"/>
    </row>
    <row r="221" spans="3:12" x14ac:dyDescent="0.25">
      <c r="C221" s="180"/>
      <c r="D221" s="581" t="s">
        <v>214</v>
      </c>
      <c r="E221" s="239">
        <v>4.18</v>
      </c>
      <c r="F221" s="36"/>
      <c r="L221" s="243"/>
    </row>
    <row r="222" spans="3:12" x14ac:dyDescent="0.25">
      <c r="C222" s="180"/>
      <c r="D222" s="238" t="s">
        <v>217</v>
      </c>
      <c r="E222" s="239">
        <f>SUM(E198:E221)</f>
        <v>307.44</v>
      </c>
      <c r="F222" s="36"/>
      <c r="L222" s="243"/>
    </row>
    <row r="223" spans="3:12" x14ac:dyDescent="0.25">
      <c r="C223" s="179"/>
      <c r="D223" s="25"/>
      <c r="E223" s="25"/>
      <c r="L223" s="243"/>
    </row>
    <row r="224" spans="3:12" x14ac:dyDescent="0.25">
      <c r="C224" s="244" t="s">
        <v>64</v>
      </c>
      <c r="D224" s="1124" t="s">
        <v>65</v>
      </c>
      <c r="E224" s="1124"/>
      <c r="F224" s="1124"/>
      <c r="G224" s="1124"/>
      <c r="H224" s="1124"/>
      <c r="I224" s="1124"/>
      <c r="J224" s="1124"/>
      <c r="K224" s="8" t="s">
        <v>7</v>
      </c>
      <c r="L224" s="245">
        <f>E226</f>
        <v>1</v>
      </c>
    </row>
    <row r="225" spans="3:12" x14ac:dyDescent="0.25">
      <c r="C225" s="179"/>
      <c r="D225" s="47"/>
      <c r="E225" s="47"/>
      <c r="L225" s="243"/>
    </row>
    <row r="226" spans="3:12" x14ac:dyDescent="0.25">
      <c r="C226" s="180"/>
      <c r="D226" s="105" t="s">
        <v>101</v>
      </c>
      <c r="E226" s="107">
        <v>1</v>
      </c>
      <c r="F226" s="36"/>
      <c r="L226" s="243"/>
    </row>
    <row r="227" spans="3:12" x14ac:dyDescent="0.25">
      <c r="C227" s="179"/>
      <c r="D227" s="25"/>
      <c r="E227" s="25"/>
      <c r="L227" s="243"/>
    </row>
    <row r="228" spans="3:12" x14ac:dyDescent="0.25">
      <c r="C228" s="244" t="s">
        <v>254</v>
      </c>
      <c r="D228" s="1124" t="s">
        <v>253</v>
      </c>
      <c r="E228" s="1124"/>
      <c r="F228" s="1124"/>
      <c r="G228" s="1124"/>
      <c r="H228" s="1124"/>
      <c r="I228" s="1124"/>
      <c r="J228" s="1124"/>
      <c r="K228" s="8" t="s">
        <v>7</v>
      </c>
      <c r="L228" s="245">
        <f>E230</f>
        <v>1</v>
      </c>
    </row>
    <row r="229" spans="3:12" x14ac:dyDescent="0.25">
      <c r="C229" s="179"/>
      <c r="D229" s="47"/>
      <c r="E229" s="47"/>
      <c r="L229" s="243"/>
    </row>
    <row r="230" spans="3:12" x14ac:dyDescent="0.25">
      <c r="C230" s="180"/>
      <c r="D230" s="105" t="s">
        <v>102</v>
      </c>
      <c r="E230" s="107">
        <v>1</v>
      </c>
      <c r="F230" s="36"/>
      <c r="L230" s="243"/>
    </row>
    <row r="231" spans="3:12" x14ac:dyDescent="0.25">
      <c r="C231" s="179"/>
      <c r="D231" s="25"/>
      <c r="E231" s="25"/>
      <c r="L231" s="243"/>
    </row>
    <row r="232" spans="3:12" x14ac:dyDescent="0.25">
      <c r="C232" s="179"/>
      <c r="L232" s="547"/>
    </row>
    <row r="233" spans="3:12" ht="15.6" customHeight="1" x14ac:dyDescent="0.25">
      <c r="C233" s="559" t="s">
        <v>740</v>
      </c>
      <c r="D233" s="1102" t="s">
        <v>741</v>
      </c>
      <c r="E233" s="1102"/>
      <c r="F233" s="1102"/>
      <c r="G233" s="1102"/>
      <c r="H233" s="1102"/>
      <c r="I233" s="1102"/>
      <c r="J233" s="1102"/>
      <c r="K233" s="520" t="s">
        <v>5</v>
      </c>
      <c r="L233" s="548">
        <f>E242</f>
        <v>26.639999999999997</v>
      </c>
    </row>
    <row r="234" spans="3:12" x14ac:dyDescent="0.25">
      <c r="C234" s="189"/>
      <c r="D234" s="39"/>
      <c r="E234" s="39"/>
      <c r="F234" s="39"/>
      <c r="G234" s="39"/>
      <c r="H234" s="25"/>
      <c r="I234" s="25"/>
      <c r="J234" s="25"/>
      <c r="K234" s="25"/>
      <c r="L234" s="169"/>
    </row>
    <row r="235" spans="3:12" x14ac:dyDescent="0.25">
      <c r="C235" s="180"/>
      <c r="D235" s="549" t="s">
        <v>106</v>
      </c>
      <c r="E235" s="553" t="s">
        <v>216</v>
      </c>
      <c r="F235" s="554" t="s">
        <v>156</v>
      </c>
      <c r="G235" s="554" t="s">
        <v>5</v>
      </c>
      <c r="H235" s="36"/>
      <c r="L235" s="170"/>
    </row>
    <row r="236" spans="3:12" x14ac:dyDescent="0.25">
      <c r="C236" s="180"/>
      <c r="D236" s="550" t="s">
        <v>193</v>
      </c>
      <c r="E236" s="580">
        <f>3*2</f>
        <v>6</v>
      </c>
      <c r="F236" s="554">
        <f>1.2</f>
        <v>1.2</v>
      </c>
      <c r="G236" s="554">
        <f>E236*F236</f>
        <v>7.1999999999999993</v>
      </c>
      <c r="H236" s="36"/>
      <c r="L236" s="170"/>
    </row>
    <row r="237" spans="3:12" x14ac:dyDescent="0.25">
      <c r="C237" s="644"/>
      <c r="D237" s="551" t="s">
        <v>196</v>
      </c>
      <c r="E237" s="580">
        <v>3</v>
      </c>
      <c r="F237" s="554">
        <f t="shared" ref="F237:F241" si="0">1.2</f>
        <v>1.2</v>
      </c>
      <c r="G237" s="554">
        <f t="shared" ref="G237:G241" si="1">E237*F237</f>
        <v>3.5999999999999996</v>
      </c>
      <c r="H237" s="36"/>
      <c r="L237" s="170"/>
    </row>
    <row r="238" spans="3:12" x14ac:dyDescent="0.25">
      <c r="C238" s="180"/>
      <c r="D238" s="550" t="s">
        <v>201</v>
      </c>
      <c r="E238" s="580">
        <v>1.2</v>
      </c>
      <c r="F238" s="554">
        <f t="shared" si="0"/>
        <v>1.2</v>
      </c>
      <c r="G238" s="554">
        <f t="shared" si="1"/>
        <v>1.44</v>
      </c>
      <c r="H238" s="36"/>
      <c r="L238" s="170"/>
    </row>
    <row r="239" spans="3:12" x14ac:dyDescent="0.25">
      <c r="C239" s="644"/>
      <c r="D239" s="551" t="s">
        <v>207</v>
      </c>
      <c r="E239" s="580">
        <v>1.2</v>
      </c>
      <c r="F239" s="554">
        <f t="shared" si="0"/>
        <v>1.2</v>
      </c>
      <c r="G239" s="554">
        <f t="shared" si="1"/>
        <v>1.44</v>
      </c>
      <c r="H239" s="36"/>
      <c r="L239" s="170"/>
    </row>
    <row r="240" spans="3:12" x14ac:dyDescent="0.25">
      <c r="C240" s="644"/>
      <c r="D240" s="551" t="s">
        <v>209</v>
      </c>
      <c r="E240" s="580">
        <v>1.2</v>
      </c>
      <c r="F240" s="554">
        <f t="shared" si="0"/>
        <v>1.2</v>
      </c>
      <c r="G240" s="554">
        <f t="shared" si="1"/>
        <v>1.44</v>
      </c>
      <c r="H240" s="36"/>
      <c r="L240" s="170"/>
    </row>
    <row r="241" spans="3:12" x14ac:dyDescent="0.25">
      <c r="C241" s="180"/>
      <c r="D241" s="550" t="s">
        <v>722</v>
      </c>
      <c r="E241" s="580">
        <v>9.6</v>
      </c>
      <c r="F241" s="554">
        <f t="shared" si="0"/>
        <v>1.2</v>
      </c>
      <c r="G241" s="554">
        <f t="shared" si="1"/>
        <v>11.52</v>
      </c>
      <c r="H241" s="36"/>
      <c r="L241" s="170"/>
    </row>
    <row r="242" spans="3:12" x14ac:dyDescent="0.25">
      <c r="C242" s="644"/>
      <c r="D242" s="552" t="s">
        <v>217</v>
      </c>
      <c r="E242" s="1123">
        <f>SUM(G236:G241)</f>
        <v>26.639999999999997</v>
      </c>
      <c r="F242" s="1123"/>
      <c r="G242" s="1123"/>
      <c r="H242" s="36"/>
      <c r="L242" s="170"/>
    </row>
    <row r="243" spans="3:12" x14ac:dyDescent="0.25">
      <c r="C243" s="179"/>
      <c r="D243" s="530"/>
      <c r="E243" s="25"/>
      <c r="F243" s="25"/>
      <c r="G243" s="25"/>
      <c r="L243" s="170"/>
    </row>
    <row r="244" spans="3:12" x14ac:dyDescent="0.25">
      <c r="C244" s="559" t="s">
        <v>742</v>
      </c>
      <c r="D244" s="1102" t="s">
        <v>743</v>
      </c>
      <c r="E244" s="1102"/>
      <c r="F244" s="1102"/>
      <c r="G244" s="1102"/>
      <c r="H244" s="1102"/>
      <c r="I244" s="1102"/>
      <c r="J244" s="1102"/>
      <c r="K244" s="520" t="s">
        <v>5</v>
      </c>
      <c r="L244" s="640">
        <f>E253</f>
        <v>26.639999999999997</v>
      </c>
    </row>
    <row r="245" spans="3:12" x14ac:dyDescent="0.25">
      <c r="C245" s="299"/>
      <c r="D245" s="47"/>
      <c r="E245" s="47"/>
      <c r="F245" s="47"/>
      <c r="G245" s="47"/>
      <c r="H245" s="47"/>
      <c r="I245" s="47"/>
      <c r="J245" s="47"/>
      <c r="K245" s="47"/>
      <c r="L245" s="171"/>
    </row>
    <row r="246" spans="3:12" x14ac:dyDescent="0.25">
      <c r="C246" s="180"/>
      <c r="D246" s="553" t="s">
        <v>106</v>
      </c>
      <c r="E246" s="553" t="s">
        <v>216</v>
      </c>
      <c r="F246" s="554" t="s">
        <v>156</v>
      </c>
      <c r="G246" s="554" t="s">
        <v>5</v>
      </c>
      <c r="H246" s="36"/>
      <c r="L246" s="170"/>
    </row>
    <row r="247" spans="3:12" x14ac:dyDescent="0.25">
      <c r="C247" s="180"/>
      <c r="D247" s="557" t="s">
        <v>193</v>
      </c>
      <c r="E247" s="580">
        <f>3*2</f>
        <v>6</v>
      </c>
      <c r="F247" s="554">
        <f>1.2</f>
        <v>1.2</v>
      </c>
      <c r="G247" s="554">
        <f>E247*F247</f>
        <v>7.1999999999999993</v>
      </c>
      <c r="H247" s="36"/>
      <c r="L247" s="170"/>
    </row>
    <row r="248" spans="3:12" x14ac:dyDescent="0.25">
      <c r="C248" s="180"/>
      <c r="D248" s="557" t="s">
        <v>196</v>
      </c>
      <c r="E248" s="580">
        <v>3</v>
      </c>
      <c r="F248" s="554">
        <f t="shared" ref="F248:F252" si="2">1.2</f>
        <v>1.2</v>
      </c>
      <c r="G248" s="554">
        <f t="shared" ref="G248:G252" si="3">E248*F248</f>
        <v>3.5999999999999996</v>
      </c>
      <c r="H248" s="36"/>
      <c r="L248" s="170"/>
    </row>
    <row r="249" spans="3:12" x14ac:dyDescent="0.25">
      <c r="C249" s="180"/>
      <c r="D249" s="557" t="s">
        <v>201</v>
      </c>
      <c r="E249" s="580">
        <v>1.2</v>
      </c>
      <c r="F249" s="554">
        <f t="shared" si="2"/>
        <v>1.2</v>
      </c>
      <c r="G249" s="554">
        <f t="shared" si="3"/>
        <v>1.44</v>
      </c>
      <c r="H249" s="36"/>
      <c r="L249" s="170"/>
    </row>
    <row r="250" spans="3:12" x14ac:dyDescent="0.25">
      <c r="C250" s="180"/>
      <c r="D250" s="557" t="s">
        <v>207</v>
      </c>
      <c r="E250" s="580">
        <v>1.2</v>
      </c>
      <c r="F250" s="554">
        <f t="shared" si="2"/>
        <v>1.2</v>
      </c>
      <c r="G250" s="554">
        <f t="shared" si="3"/>
        <v>1.44</v>
      </c>
      <c r="H250" s="36"/>
      <c r="L250" s="170"/>
    </row>
    <row r="251" spans="3:12" x14ac:dyDescent="0.25">
      <c r="C251" s="180"/>
      <c r="D251" s="557" t="s">
        <v>209</v>
      </c>
      <c r="E251" s="580">
        <v>1.2</v>
      </c>
      <c r="F251" s="554">
        <f t="shared" si="2"/>
        <v>1.2</v>
      </c>
      <c r="G251" s="554">
        <f t="shared" si="3"/>
        <v>1.44</v>
      </c>
      <c r="H251" s="36"/>
      <c r="L251" s="170"/>
    </row>
    <row r="252" spans="3:12" x14ac:dyDescent="0.25">
      <c r="C252" s="180"/>
      <c r="D252" s="557" t="s">
        <v>722</v>
      </c>
      <c r="E252" s="580">
        <v>9.6</v>
      </c>
      <c r="F252" s="554">
        <f t="shared" si="2"/>
        <v>1.2</v>
      </c>
      <c r="G252" s="554">
        <f t="shared" si="3"/>
        <v>11.52</v>
      </c>
      <c r="H252" s="36"/>
      <c r="L252" s="170"/>
    </row>
    <row r="253" spans="3:12" x14ac:dyDescent="0.25">
      <c r="C253" s="180"/>
      <c r="D253" s="553" t="s">
        <v>217</v>
      </c>
      <c r="E253" s="1123">
        <f>SUM(G247:G252)</f>
        <v>26.639999999999997</v>
      </c>
      <c r="F253" s="1123"/>
      <c r="G253" s="1123"/>
      <c r="H253" s="36"/>
      <c r="L253" s="170"/>
    </row>
    <row r="254" spans="3:12" x14ac:dyDescent="0.25">
      <c r="C254" s="179"/>
      <c r="D254" s="25"/>
      <c r="E254" s="25"/>
      <c r="F254" s="25"/>
      <c r="G254" s="25"/>
      <c r="L254" s="170"/>
    </row>
    <row r="255" spans="3:12" ht="15.75" thickBot="1" x14ac:dyDescent="0.3">
      <c r="C255" s="181"/>
      <c r="D255" s="182"/>
      <c r="E255" s="182"/>
      <c r="F255" s="182"/>
      <c r="G255" s="182"/>
      <c r="H255" s="182"/>
      <c r="I255" s="182"/>
      <c r="J255" s="182"/>
      <c r="K255" s="182"/>
      <c r="L255" s="183"/>
    </row>
  </sheetData>
  <mergeCells count="61">
    <mergeCell ref="D88:J88"/>
    <mergeCell ref="D110:J110"/>
    <mergeCell ref="D83:J83"/>
    <mergeCell ref="D93:J93"/>
    <mergeCell ref="D98:J98"/>
    <mergeCell ref="D103:J103"/>
    <mergeCell ref="D64:J64"/>
    <mergeCell ref="D68:J68"/>
    <mergeCell ref="D72:J72"/>
    <mergeCell ref="D76:J76"/>
    <mergeCell ref="D78:J78"/>
    <mergeCell ref="D16:J16"/>
    <mergeCell ref="D26:J26"/>
    <mergeCell ref="D2:I2"/>
    <mergeCell ref="C3:L3"/>
    <mergeCell ref="D4:J4"/>
    <mergeCell ref="D9:J9"/>
    <mergeCell ref="D20:J20"/>
    <mergeCell ref="D30:J30"/>
    <mergeCell ref="D32:J32"/>
    <mergeCell ref="D34:J34"/>
    <mergeCell ref="D38:J38"/>
    <mergeCell ref="D40:J40"/>
    <mergeCell ref="D42:J42"/>
    <mergeCell ref="D44:J44"/>
    <mergeCell ref="D46:J46"/>
    <mergeCell ref="D36:J36"/>
    <mergeCell ref="D115:J115"/>
    <mergeCell ref="D48:J48"/>
    <mergeCell ref="D66:J66"/>
    <mergeCell ref="D70:J70"/>
    <mergeCell ref="D74:J74"/>
    <mergeCell ref="D50:J50"/>
    <mergeCell ref="D52:J52"/>
    <mergeCell ref="D54:J54"/>
    <mergeCell ref="D56:J56"/>
    <mergeCell ref="D58:J58"/>
    <mergeCell ref="D60:J60"/>
    <mergeCell ref="D62:J62"/>
    <mergeCell ref="D190:J190"/>
    <mergeCell ref="D119:J119"/>
    <mergeCell ref="D123:J123"/>
    <mergeCell ref="D131:J131"/>
    <mergeCell ref="D135:J135"/>
    <mergeCell ref="D142:J142"/>
    <mergeCell ref="D244:J244"/>
    <mergeCell ref="E253:G253"/>
    <mergeCell ref="E242:G242"/>
    <mergeCell ref="D233:J233"/>
    <mergeCell ref="D146:J146"/>
    <mergeCell ref="D195:J195"/>
    <mergeCell ref="D224:J224"/>
    <mergeCell ref="D228:J228"/>
    <mergeCell ref="D153:J153"/>
    <mergeCell ref="D155:F155"/>
    <mergeCell ref="D157:J157"/>
    <mergeCell ref="D161:J161"/>
    <mergeCell ref="D165:J165"/>
    <mergeCell ref="D171:J171"/>
    <mergeCell ref="D181:J181"/>
    <mergeCell ref="D185:J185"/>
  </mergeCells>
  <phoneticPr fontId="7" type="noConversion"/>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65"/>
  <sheetViews>
    <sheetView topLeftCell="A142" zoomScale="69" zoomScaleNormal="69" workbookViewId="0">
      <selection activeCell="D180" sqref="D180"/>
    </sheetView>
  </sheetViews>
  <sheetFormatPr defaultRowHeight="15" x14ac:dyDescent="0.25"/>
  <cols>
    <col min="3" max="3" width="20" bestFit="1" customWidth="1"/>
    <col min="4" max="4" width="49.7109375" customWidth="1"/>
    <col min="5" max="5" width="12.5703125" customWidth="1"/>
    <col min="6" max="6" width="14.85546875" customWidth="1"/>
    <col min="7" max="7" width="20.5703125" customWidth="1"/>
    <col min="8" max="8" width="17" customWidth="1"/>
    <col min="9" max="9" width="14" bestFit="1" customWidth="1"/>
    <col min="10" max="10" width="14.28515625" customWidth="1"/>
    <col min="11" max="11" width="17.7109375" customWidth="1"/>
    <col min="12" max="12" width="14.42578125" customWidth="1"/>
  </cols>
  <sheetData>
    <row r="1" spans="3:12" ht="15.75" thickBot="1" x14ac:dyDescent="0.3"/>
    <row r="2" spans="3:12" ht="16.5" thickBot="1" x14ac:dyDescent="0.3">
      <c r="C2" s="44" t="s">
        <v>1</v>
      </c>
      <c r="D2" s="1134" t="s">
        <v>2</v>
      </c>
      <c r="E2" s="1135"/>
      <c r="F2" s="1135"/>
      <c r="G2" s="1135"/>
      <c r="H2" s="1135"/>
      <c r="I2" s="1136"/>
      <c r="J2" s="45"/>
      <c r="K2" s="645" t="s">
        <v>3</v>
      </c>
      <c r="L2" s="46" t="s">
        <v>4</v>
      </c>
    </row>
    <row r="3" spans="3:12" ht="16.5" thickBot="1" x14ac:dyDescent="0.3">
      <c r="C3" s="1137" t="s">
        <v>55</v>
      </c>
      <c r="D3" s="1138"/>
      <c r="E3" s="1138"/>
      <c r="F3" s="1138"/>
      <c r="G3" s="1138"/>
      <c r="H3" s="1138"/>
      <c r="I3" s="1138"/>
      <c r="J3" s="1138"/>
      <c r="K3" s="1138"/>
      <c r="L3" s="1139"/>
    </row>
    <row r="4" spans="3:12" ht="15.75" x14ac:dyDescent="0.25">
      <c r="C4" s="216" t="s">
        <v>73</v>
      </c>
      <c r="D4" s="1140" t="s">
        <v>74</v>
      </c>
      <c r="E4" s="1141"/>
      <c r="F4" s="1141"/>
      <c r="G4" s="1141"/>
      <c r="H4" s="1141"/>
      <c r="I4" s="1141"/>
      <c r="J4" s="1142"/>
      <c r="K4" s="248" t="s">
        <v>5</v>
      </c>
      <c r="L4" s="251">
        <f>E21</f>
        <v>266.05</v>
      </c>
    </row>
    <row r="5" spans="3:12" ht="15.75" x14ac:dyDescent="0.25">
      <c r="C5" s="252"/>
      <c r="D5" s="143"/>
      <c r="E5" s="143"/>
      <c r="F5" s="132"/>
      <c r="G5" s="132"/>
      <c r="H5" s="132"/>
      <c r="I5" s="132"/>
      <c r="J5" s="132"/>
      <c r="K5" s="133"/>
      <c r="L5" s="253"/>
    </row>
    <row r="6" spans="3:12" ht="15.75" x14ac:dyDescent="0.25">
      <c r="C6" s="254"/>
      <c r="D6" s="585" t="s">
        <v>106</v>
      </c>
      <c r="E6" s="585" t="s">
        <v>222</v>
      </c>
      <c r="F6" s="140"/>
      <c r="G6" s="126"/>
      <c r="H6" s="126"/>
      <c r="I6" s="126"/>
      <c r="J6" s="126"/>
      <c r="K6" s="127"/>
      <c r="L6" s="255"/>
    </row>
    <row r="7" spans="3:12" ht="15.75" x14ac:dyDescent="0.25">
      <c r="C7" s="254"/>
      <c r="D7" s="74" t="s">
        <v>135</v>
      </c>
      <c r="E7" s="577">
        <v>19.63</v>
      </c>
      <c r="F7" s="140"/>
      <c r="G7" s="126"/>
      <c r="H7" s="126"/>
      <c r="I7" s="126"/>
      <c r="J7" s="126"/>
      <c r="K7" s="127"/>
      <c r="L7" s="255"/>
    </row>
    <row r="8" spans="3:12" ht="15.75" x14ac:dyDescent="0.25">
      <c r="C8" s="254"/>
      <c r="D8" s="581" t="s">
        <v>136</v>
      </c>
      <c r="E8" s="577">
        <v>3.2</v>
      </c>
      <c r="F8" s="140"/>
      <c r="G8" s="126"/>
      <c r="H8" s="126"/>
      <c r="I8" s="126"/>
      <c r="J8" s="126"/>
      <c r="K8" s="127"/>
      <c r="L8" s="255"/>
    </row>
    <row r="9" spans="3:12" ht="15.75" x14ac:dyDescent="0.25">
      <c r="C9" s="254"/>
      <c r="D9" s="581" t="s">
        <v>137</v>
      </c>
      <c r="E9" s="577">
        <v>3.2</v>
      </c>
      <c r="F9" s="140"/>
      <c r="G9" s="126"/>
      <c r="H9" s="126"/>
      <c r="I9" s="126"/>
      <c r="J9" s="126"/>
      <c r="K9" s="127"/>
      <c r="L9" s="255"/>
    </row>
    <row r="10" spans="3:12" ht="15.75" x14ac:dyDescent="0.25">
      <c r="C10" s="254"/>
      <c r="D10" s="581" t="s">
        <v>138</v>
      </c>
      <c r="E10" s="577">
        <v>2.87</v>
      </c>
      <c r="F10" s="140"/>
      <c r="G10" s="126"/>
      <c r="H10" s="126"/>
      <c r="I10" s="126"/>
      <c r="J10" s="126"/>
      <c r="K10" s="127"/>
      <c r="L10" s="255"/>
    </row>
    <row r="11" spans="3:12" ht="15.75" x14ac:dyDescent="0.25">
      <c r="C11" s="254"/>
      <c r="D11" s="581" t="s">
        <v>144</v>
      </c>
      <c r="E11" s="577">
        <v>4.25</v>
      </c>
      <c r="F11" s="140"/>
      <c r="G11" s="126"/>
      <c r="H11" s="126"/>
      <c r="I11" s="126"/>
      <c r="J11" s="126"/>
      <c r="K11" s="127"/>
      <c r="L11" s="255"/>
    </row>
    <row r="12" spans="3:12" ht="15.75" x14ac:dyDescent="0.25">
      <c r="C12" s="254"/>
      <c r="D12" s="581" t="s">
        <v>139</v>
      </c>
      <c r="E12" s="577">
        <v>7.18</v>
      </c>
      <c r="F12" s="140"/>
      <c r="G12" s="126"/>
      <c r="H12" s="126"/>
      <c r="I12" s="126"/>
      <c r="J12" s="126"/>
      <c r="K12" s="127"/>
      <c r="L12" s="255"/>
    </row>
    <row r="13" spans="3:12" ht="15.75" x14ac:dyDescent="0.25">
      <c r="C13" s="254"/>
      <c r="D13" s="581" t="s">
        <v>140</v>
      </c>
      <c r="E13" s="577">
        <v>56.31</v>
      </c>
      <c r="F13" s="140"/>
      <c r="G13" s="126"/>
      <c r="H13" s="126"/>
      <c r="I13" s="126"/>
      <c r="J13" s="126"/>
      <c r="K13" s="127"/>
      <c r="L13" s="255"/>
    </row>
    <row r="14" spans="3:12" ht="15.75" x14ac:dyDescent="0.25">
      <c r="C14" s="254"/>
      <c r="D14" s="581" t="s">
        <v>146</v>
      </c>
      <c r="E14" s="577">
        <v>102.24</v>
      </c>
      <c r="F14" s="140"/>
      <c r="G14" s="126"/>
      <c r="H14" s="126"/>
      <c r="I14" s="126"/>
      <c r="J14" s="126"/>
      <c r="K14" s="127"/>
      <c r="L14" s="255"/>
    </row>
    <row r="15" spans="3:12" ht="15.75" x14ac:dyDescent="0.25">
      <c r="C15" s="254"/>
      <c r="D15" s="581" t="s">
        <v>147</v>
      </c>
      <c r="E15" s="577">
        <v>7.44</v>
      </c>
      <c r="F15" s="140"/>
      <c r="G15" s="126"/>
      <c r="H15" s="126"/>
      <c r="I15" s="126"/>
      <c r="J15" s="126"/>
      <c r="K15" s="127"/>
      <c r="L15" s="255"/>
    </row>
    <row r="16" spans="3:12" ht="15.75" x14ac:dyDescent="0.25">
      <c r="C16" s="254"/>
      <c r="D16" s="581" t="s">
        <v>141</v>
      </c>
      <c r="E16" s="577">
        <v>11.59</v>
      </c>
      <c r="F16" s="140"/>
      <c r="G16" s="126"/>
      <c r="H16" s="126"/>
      <c r="I16" s="126"/>
      <c r="J16" s="126"/>
      <c r="K16" s="127"/>
      <c r="L16" s="255"/>
    </row>
    <row r="17" spans="3:12" ht="15.75" x14ac:dyDescent="0.25">
      <c r="C17" s="254"/>
      <c r="D17" s="581" t="s">
        <v>142</v>
      </c>
      <c r="E17" s="577">
        <v>7.68</v>
      </c>
      <c r="F17" s="140"/>
      <c r="G17" s="126"/>
      <c r="H17" s="126"/>
      <c r="I17" s="126"/>
      <c r="J17" s="126"/>
      <c r="K17" s="127"/>
      <c r="L17" s="255"/>
    </row>
    <row r="18" spans="3:12" ht="15.75" x14ac:dyDescent="0.25">
      <c r="C18" s="254"/>
      <c r="D18" s="581" t="s">
        <v>143</v>
      </c>
      <c r="E18" s="577">
        <v>4</v>
      </c>
      <c r="F18" s="140"/>
      <c r="G18" s="126"/>
      <c r="H18" s="126"/>
      <c r="I18" s="126"/>
      <c r="J18" s="126"/>
      <c r="K18" s="127"/>
      <c r="L18" s="255"/>
    </row>
    <row r="19" spans="3:12" ht="15.75" x14ac:dyDescent="0.25">
      <c r="C19" s="254"/>
      <c r="D19" s="581" t="s">
        <v>145</v>
      </c>
      <c r="E19" s="577">
        <v>4</v>
      </c>
      <c r="F19" s="140"/>
      <c r="G19" s="126"/>
      <c r="H19" s="126"/>
      <c r="I19" s="126"/>
      <c r="J19" s="126"/>
      <c r="K19" s="127"/>
      <c r="L19" s="255"/>
    </row>
    <row r="20" spans="3:12" ht="15.75" x14ac:dyDescent="0.25">
      <c r="C20" s="254"/>
      <c r="D20" s="581" t="s">
        <v>148</v>
      </c>
      <c r="E20" s="577">
        <v>32.46</v>
      </c>
      <c r="F20" s="140"/>
      <c r="G20" s="126"/>
      <c r="H20" s="126"/>
      <c r="I20" s="126"/>
      <c r="J20" s="126"/>
      <c r="K20" s="127"/>
      <c r="L20" s="255"/>
    </row>
    <row r="21" spans="3:12" ht="15.75" x14ac:dyDescent="0.25">
      <c r="C21" s="254"/>
      <c r="D21" s="97" t="s">
        <v>217</v>
      </c>
      <c r="E21" s="148">
        <f>SUM(E7:E20)</f>
        <v>266.05</v>
      </c>
      <c r="F21" s="140"/>
      <c r="G21" s="126"/>
      <c r="H21" s="126"/>
      <c r="I21" s="126"/>
      <c r="J21" s="126"/>
      <c r="K21" s="127"/>
      <c r="L21" s="255"/>
    </row>
    <row r="22" spans="3:12" ht="15.75" x14ac:dyDescent="0.25">
      <c r="C22" s="256"/>
      <c r="D22" s="143"/>
      <c r="E22" s="143"/>
      <c r="F22" s="134"/>
      <c r="G22" s="134"/>
      <c r="H22" s="134"/>
      <c r="I22" s="134"/>
      <c r="J22" s="134"/>
      <c r="K22" s="135"/>
      <c r="L22" s="257"/>
    </row>
    <row r="23" spans="3:12" ht="15.75" x14ac:dyDescent="0.25">
      <c r="C23" s="258" t="s">
        <v>298</v>
      </c>
      <c r="D23" s="1143" t="s">
        <v>299</v>
      </c>
      <c r="E23" s="1143"/>
      <c r="F23" s="1143"/>
      <c r="G23" s="1143"/>
      <c r="H23" s="1143"/>
      <c r="I23" s="1143"/>
      <c r="J23" s="1143"/>
      <c r="K23" s="99" t="s">
        <v>8</v>
      </c>
      <c r="L23" s="259">
        <f>D26</f>
        <v>91.55</v>
      </c>
    </row>
    <row r="24" spans="3:12" ht="15.75" x14ac:dyDescent="0.25">
      <c r="C24" s="260"/>
      <c r="D24" s="144"/>
      <c r="E24" s="137"/>
      <c r="F24" s="137"/>
      <c r="G24" s="137"/>
      <c r="H24" s="137"/>
      <c r="I24" s="137"/>
      <c r="J24" s="137"/>
      <c r="K24" s="133"/>
      <c r="L24" s="253"/>
    </row>
    <row r="25" spans="3:12" ht="15.75" x14ac:dyDescent="0.25">
      <c r="C25" s="261"/>
      <c r="D25" s="149" t="s">
        <v>354</v>
      </c>
      <c r="E25" s="141"/>
      <c r="F25" s="128"/>
      <c r="G25" s="128"/>
      <c r="H25" s="128"/>
      <c r="I25" s="128"/>
      <c r="J25" s="128"/>
      <c r="K25" s="127"/>
      <c r="L25" s="255"/>
    </row>
    <row r="26" spans="3:12" ht="15.75" x14ac:dyDescent="0.25">
      <c r="C26" s="261"/>
      <c r="D26" s="149">
        <f>5.5+14.3+3.7+19+13+7.35+3+17.7+8</f>
        <v>91.55</v>
      </c>
      <c r="E26" s="141"/>
      <c r="F26" s="128"/>
      <c r="G26" s="128"/>
      <c r="H26" s="128"/>
      <c r="I26" s="128"/>
      <c r="J26" s="128"/>
      <c r="K26" s="127"/>
      <c r="L26" s="255"/>
    </row>
    <row r="27" spans="3:12" x14ac:dyDescent="0.25">
      <c r="C27" s="178"/>
      <c r="D27" s="138"/>
      <c r="E27" s="129"/>
      <c r="F27" s="129"/>
      <c r="G27" s="129"/>
      <c r="H27" s="129"/>
      <c r="I27" s="129"/>
      <c r="J27" s="129"/>
      <c r="K27" s="129"/>
      <c r="L27" s="215"/>
    </row>
    <row r="28" spans="3:12" ht="15.75" x14ac:dyDescent="0.25">
      <c r="C28" s="244" t="s">
        <v>438</v>
      </c>
      <c r="D28" s="1133" t="s">
        <v>439</v>
      </c>
      <c r="E28" s="1133"/>
      <c r="F28" s="1133"/>
      <c r="G28" s="1133"/>
      <c r="H28" s="1133"/>
      <c r="I28" s="1133"/>
      <c r="J28" s="1133"/>
      <c r="K28" s="8" t="s">
        <v>7</v>
      </c>
      <c r="L28" s="168">
        <f>G31</f>
        <v>16</v>
      </c>
    </row>
    <row r="29" spans="3:12" x14ac:dyDescent="0.25">
      <c r="C29" s="175"/>
      <c r="D29" s="138"/>
      <c r="E29" s="138"/>
      <c r="F29" s="138"/>
      <c r="G29" s="138"/>
      <c r="H29" s="138"/>
      <c r="I29" s="138"/>
      <c r="J29" s="138"/>
      <c r="K29" s="138"/>
      <c r="L29" s="262"/>
    </row>
    <row r="30" spans="3:12" x14ac:dyDescent="0.25">
      <c r="C30" s="178"/>
      <c r="D30" s="97" t="s">
        <v>242</v>
      </c>
      <c r="E30" s="108">
        <v>4</v>
      </c>
      <c r="F30" s="129"/>
      <c r="G30" s="136"/>
      <c r="H30" s="129"/>
      <c r="I30" s="129"/>
      <c r="J30" s="129"/>
      <c r="K30" s="129"/>
      <c r="L30" s="215"/>
    </row>
    <row r="31" spans="3:12" x14ac:dyDescent="0.25">
      <c r="C31" s="178"/>
      <c r="D31" s="578" t="s">
        <v>243</v>
      </c>
      <c r="E31" s="108">
        <v>4</v>
      </c>
      <c r="F31" s="249"/>
      <c r="G31" s="108">
        <f>SUM(E30:E33)</f>
        <v>16</v>
      </c>
      <c r="H31" s="142"/>
      <c r="I31" s="129"/>
      <c r="J31" s="129"/>
      <c r="K31" s="129"/>
      <c r="L31" s="215"/>
    </row>
    <row r="32" spans="3:12" x14ac:dyDescent="0.25">
      <c r="C32" s="178"/>
      <c r="D32" s="578" t="s">
        <v>314</v>
      </c>
      <c r="E32" s="108">
        <v>4</v>
      </c>
      <c r="F32" s="129"/>
      <c r="G32" s="138"/>
      <c r="H32" s="129"/>
      <c r="I32" s="129"/>
      <c r="J32" s="129"/>
      <c r="K32" s="129"/>
      <c r="L32" s="215"/>
    </row>
    <row r="33" spans="3:12" x14ac:dyDescent="0.25">
      <c r="C33" s="178"/>
      <c r="D33" s="578" t="s">
        <v>315</v>
      </c>
      <c r="E33" s="108">
        <v>4</v>
      </c>
      <c r="F33" s="129"/>
      <c r="G33" s="129"/>
      <c r="H33" s="129"/>
      <c r="I33" s="129"/>
      <c r="J33" s="129"/>
      <c r="K33" s="129"/>
      <c r="L33" s="215"/>
    </row>
    <row r="34" spans="3:12" x14ac:dyDescent="0.25">
      <c r="C34" s="178"/>
      <c r="D34" s="129"/>
      <c r="E34" s="129"/>
      <c r="F34" s="129"/>
      <c r="G34" s="129"/>
      <c r="H34" s="129"/>
      <c r="I34" s="129"/>
      <c r="J34" s="129"/>
      <c r="K34" s="129"/>
      <c r="L34" s="215"/>
    </row>
    <row r="35" spans="3:12" ht="15.75" x14ac:dyDescent="0.25">
      <c r="C35" s="244" t="s">
        <v>440</v>
      </c>
      <c r="D35" s="1133" t="s">
        <v>441</v>
      </c>
      <c r="E35" s="1133"/>
      <c r="F35" s="1133"/>
      <c r="G35" s="1133"/>
      <c r="H35" s="1133"/>
      <c r="I35" s="1133"/>
      <c r="J35" s="1133"/>
      <c r="K35" s="8" t="s">
        <v>7</v>
      </c>
      <c r="L35" s="263">
        <f>E37</f>
        <v>17</v>
      </c>
    </row>
    <row r="36" spans="3:12" x14ac:dyDescent="0.25">
      <c r="C36" s="178"/>
      <c r="D36" s="129"/>
      <c r="E36" s="129"/>
      <c r="F36" s="129"/>
      <c r="G36" s="129"/>
      <c r="H36" s="129"/>
      <c r="I36" s="129"/>
      <c r="J36" s="129"/>
      <c r="K36" s="129"/>
      <c r="L36" s="215"/>
    </row>
    <row r="37" spans="3:12" x14ac:dyDescent="0.25">
      <c r="C37" s="178"/>
      <c r="D37" s="579" t="s">
        <v>603</v>
      </c>
      <c r="E37" s="250">
        <v>17</v>
      </c>
      <c r="F37" s="129"/>
      <c r="G37" s="129"/>
      <c r="H37" s="129"/>
      <c r="I37" s="129"/>
      <c r="J37" s="129"/>
      <c r="K37" s="129"/>
      <c r="L37" s="215"/>
    </row>
    <row r="38" spans="3:12" x14ac:dyDescent="0.25">
      <c r="C38" s="178"/>
      <c r="D38" s="129"/>
      <c r="E38" s="129"/>
      <c r="F38" s="129"/>
      <c r="G38" s="129"/>
      <c r="H38" s="129"/>
      <c r="I38" s="129"/>
      <c r="J38" s="129"/>
      <c r="K38" s="129"/>
      <c r="L38" s="215"/>
    </row>
    <row r="39" spans="3:12" ht="15.75" x14ac:dyDescent="0.25">
      <c r="C39" s="244" t="s">
        <v>444</v>
      </c>
      <c r="D39" s="1133" t="s">
        <v>445</v>
      </c>
      <c r="E39" s="1133"/>
      <c r="F39" s="1133"/>
      <c r="G39" s="1133"/>
      <c r="H39" s="1133"/>
      <c r="I39" s="1133"/>
      <c r="J39" s="1133"/>
      <c r="K39" s="8" t="s">
        <v>7</v>
      </c>
      <c r="L39" s="263">
        <f>E41</f>
        <v>3</v>
      </c>
    </row>
    <row r="40" spans="3:12" x14ac:dyDescent="0.25">
      <c r="C40" s="178"/>
      <c r="D40" s="129"/>
      <c r="E40" s="129"/>
      <c r="F40" s="129"/>
      <c r="G40" s="129"/>
      <c r="H40" s="129"/>
      <c r="I40" s="129"/>
      <c r="J40" s="129"/>
      <c r="K40" s="129"/>
      <c r="L40" s="215"/>
    </row>
    <row r="41" spans="3:12" x14ac:dyDescent="0.25">
      <c r="C41" s="178"/>
      <c r="D41" s="579" t="s">
        <v>603</v>
      </c>
      <c r="E41" s="105">
        <v>3</v>
      </c>
      <c r="F41" s="129"/>
      <c r="G41" s="129"/>
      <c r="H41" s="129"/>
      <c r="I41" s="129"/>
      <c r="J41" s="129"/>
      <c r="K41" s="129"/>
      <c r="L41" s="215"/>
    </row>
    <row r="42" spans="3:12" x14ac:dyDescent="0.25">
      <c r="C42" s="178"/>
      <c r="D42" s="129"/>
      <c r="E42" s="129"/>
      <c r="F42" s="129"/>
      <c r="G42" s="129"/>
      <c r="H42" s="129"/>
      <c r="I42" s="129"/>
      <c r="J42" s="129"/>
      <c r="K42" s="129"/>
      <c r="L42" s="215"/>
    </row>
    <row r="43" spans="3:12" ht="15.75" x14ac:dyDescent="0.25">
      <c r="C43" s="244" t="s">
        <v>353</v>
      </c>
      <c r="D43" s="1133" t="s">
        <v>352</v>
      </c>
      <c r="E43" s="1133"/>
      <c r="F43" s="1133"/>
      <c r="G43" s="1133"/>
      <c r="H43" s="1133"/>
      <c r="I43" s="1133"/>
      <c r="J43" s="1133"/>
      <c r="K43" s="8" t="s">
        <v>7</v>
      </c>
      <c r="L43" s="168">
        <f>E45</f>
        <v>1</v>
      </c>
    </row>
    <row r="44" spans="3:12" x14ac:dyDescent="0.25">
      <c r="C44" s="178"/>
      <c r="D44" s="129"/>
      <c r="E44" s="129"/>
      <c r="F44" s="129"/>
      <c r="G44" s="129"/>
      <c r="H44" s="129"/>
      <c r="I44" s="129"/>
      <c r="J44" s="129"/>
      <c r="K44" s="129"/>
      <c r="L44" s="215"/>
    </row>
    <row r="45" spans="3:12" x14ac:dyDescent="0.25">
      <c r="C45" s="178"/>
      <c r="D45" s="585" t="s">
        <v>221</v>
      </c>
      <c r="E45" s="125">
        <v>1</v>
      </c>
      <c r="F45" s="73" t="s">
        <v>107</v>
      </c>
      <c r="G45" s="129"/>
      <c r="H45" s="129"/>
      <c r="I45" s="129"/>
      <c r="J45" s="129"/>
      <c r="K45" s="129"/>
      <c r="L45" s="215"/>
    </row>
    <row r="46" spans="3:12" x14ac:dyDescent="0.25">
      <c r="C46" s="178"/>
      <c r="D46" s="129"/>
      <c r="E46" s="129"/>
      <c r="F46" s="129"/>
      <c r="G46" s="129"/>
      <c r="H46" s="129"/>
      <c r="I46" s="129"/>
      <c r="J46" s="129"/>
      <c r="K46" s="129"/>
      <c r="L46" s="215"/>
    </row>
    <row r="47" spans="3:12" ht="15.75" x14ac:dyDescent="0.25">
      <c r="C47" s="244" t="s">
        <v>252</v>
      </c>
      <c r="D47" s="1133" t="s">
        <v>251</v>
      </c>
      <c r="E47" s="1133"/>
      <c r="F47" s="1133"/>
      <c r="G47" s="1133"/>
      <c r="H47" s="1133"/>
      <c r="I47" s="1133"/>
      <c r="J47" s="1133"/>
      <c r="K47" s="8" t="s">
        <v>8</v>
      </c>
      <c r="L47" s="168">
        <f>I50</f>
        <v>49.9</v>
      </c>
    </row>
    <row r="48" spans="3:12" x14ac:dyDescent="0.25">
      <c r="C48" s="178"/>
      <c r="D48" s="129"/>
      <c r="E48" s="129"/>
      <c r="F48" s="129"/>
      <c r="G48" s="129"/>
      <c r="H48" s="129"/>
      <c r="I48" s="129"/>
      <c r="J48" s="129"/>
      <c r="K48" s="129"/>
      <c r="L48" s="215"/>
    </row>
    <row r="49" spans="3:12" x14ac:dyDescent="0.25">
      <c r="C49" s="178"/>
      <c r="D49" s="578" t="s">
        <v>250</v>
      </c>
      <c r="E49" s="578" t="s">
        <v>8</v>
      </c>
      <c r="F49" s="142"/>
      <c r="G49" s="129"/>
      <c r="H49" s="129"/>
      <c r="I49" s="136"/>
      <c r="J49" s="129"/>
      <c r="K49" s="129"/>
      <c r="L49" s="215"/>
    </row>
    <row r="50" spans="3:12" x14ac:dyDescent="0.25">
      <c r="C50" s="178"/>
      <c r="D50" s="67" t="s">
        <v>620</v>
      </c>
      <c r="E50" s="150">
        <v>23</v>
      </c>
      <c r="F50" s="142"/>
      <c r="G50" s="129"/>
      <c r="H50" s="249"/>
      <c r="I50" s="94">
        <f>E50+E51</f>
        <v>49.9</v>
      </c>
      <c r="J50" s="142"/>
      <c r="K50" s="129"/>
      <c r="L50" s="215"/>
    </row>
    <row r="51" spans="3:12" x14ac:dyDescent="0.25">
      <c r="C51" s="178"/>
      <c r="D51" s="581" t="s">
        <v>241</v>
      </c>
      <c r="E51" s="72">
        <v>26.9</v>
      </c>
      <c r="F51" s="142"/>
      <c r="G51" s="129"/>
      <c r="H51" s="129"/>
      <c r="I51" s="138"/>
      <c r="J51" s="129"/>
      <c r="K51" s="129"/>
      <c r="L51" s="215"/>
    </row>
    <row r="52" spans="3:12" x14ac:dyDescent="0.25">
      <c r="C52" s="178"/>
      <c r="D52" s="129"/>
      <c r="E52" s="129"/>
      <c r="F52" s="129"/>
      <c r="G52" s="129"/>
      <c r="H52" s="129"/>
      <c r="I52" s="129"/>
      <c r="J52" s="129"/>
      <c r="K52" s="129"/>
      <c r="L52" s="215"/>
    </row>
    <row r="53" spans="3:12" ht="15.75" x14ac:dyDescent="0.25">
      <c r="C53" s="244" t="s">
        <v>360</v>
      </c>
      <c r="D53" s="1133" t="s">
        <v>361</v>
      </c>
      <c r="E53" s="1133"/>
      <c r="F53" s="1133"/>
      <c r="G53" s="1133"/>
      <c r="H53" s="1133"/>
      <c r="I53" s="1133"/>
      <c r="J53" s="1133"/>
      <c r="K53" s="8" t="s">
        <v>5</v>
      </c>
      <c r="L53" s="168">
        <f>E58</f>
        <v>3</v>
      </c>
    </row>
    <row r="54" spans="3:12" x14ac:dyDescent="0.25">
      <c r="C54" s="178"/>
      <c r="D54" s="129"/>
      <c r="E54" s="129"/>
      <c r="F54" s="129"/>
      <c r="G54" s="129"/>
      <c r="H54" s="129"/>
      <c r="I54" s="129"/>
      <c r="J54" s="129"/>
      <c r="K54" s="129"/>
      <c r="L54" s="215"/>
    </row>
    <row r="55" spans="3:12" x14ac:dyDescent="0.25">
      <c r="C55" s="178"/>
      <c r="D55" s="585" t="s">
        <v>106</v>
      </c>
      <c r="E55" s="585" t="s">
        <v>155</v>
      </c>
      <c r="F55" s="129"/>
      <c r="G55" s="129"/>
      <c r="H55" s="129"/>
      <c r="I55" s="129"/>
      <c r="J55" s="129"/>
      <c r="K55" s="129"/>
      <c r="L55" s="215"/>
    </row>
    <row r="56" spans="3:12" x14ac:dyDescent="0.25">
      <c r="C56" s="178"/>
      <c r="D56" s="581" t="s">
        <v>139</v>
      </c>
      <c r="E56" s="577">
        <f>1.5*1</f>
        <v>1.5</v>
      </c>
      <c r="F56" s="129"/>
      <c r="G56" s="129"/>
      <c r="H56" s="129"/>
      <c r="I56" s="129"/>
      <c r="J56" s="129"/>
      <c r="K56" s="129"/>
      <c r="L56" s="215"/>
    </row>
    <row r="57" spans="3:12" x14ac:dyDescent="0.25">
      <c r="C57" s="178"/>
      <c r="D57" s="581" t="s">
        <v>141</v>
      </c>
      <c r="E57" s="577">
        <f>1.5*1</f>
        <v>1.5</v>
      </c>
      <c r="F57" s="129"/>
      <c r="G57" s="129"/>
      <c r="H57" s="129"/>
      <c r="I57" s="129"/>
      <c r="J57" s="129"/>
      <c r="K57" s="129"/>
      <c r="L57" s="215"/>
    </row>
    <row r="58" spans="3:12" x14ac:dyDescent="0.25">
      <c r="C58" s="178"/>
      <c r="D58" s="578" t="s">
        <v>217</v>
      </c>
      <c r="E58" s="577">
        <f>SUM(E56:E57)</f>
        <v>3</v>
      </c>
      <c r="F58" s="129"/>
      <c r="G58" s="129"/>
      <c r="H58" s="129"/>
      <c r="I58" s="129"/>
      <c r="J58" s="129"/>
      <c r="K58" s="129"/>
      <c r="L58" s="215"/>
    </row>
    <row r="59" spans="3:12" x14ac:dyDescent="0.25">
      <c r="C59" s="178"/>
      <c r="D59" s="129"/>
      <c r="E59" s="129"/>
      <c r="F59" s="129"/>
      <c r="G59" s="129"/>
      <c r="H59" s="129"/>
      <c r="I59" s="129"/>
      <c r="J59" s="129"/>
      <c r="K59" s="129"/>
      <c r="L59" s="215"/>
    </row>
    <row r="60" spans="3:12" ht="15.75" x14ac:dyDescent="0.25">
      <c r="C60" s="244" t="s">
        <v>254</v>
      </c>
      <c r="D60" s="1133" t="s">
        <v>253</v>
      </c>
      <c r="E60" s="1133"/>
      <c r="F60" s="1133"/>
      <c r="G60" s="1133"/>
      <c r="H60" s="1133"/>
      <c r="I60" s="1133"/>
      <c r="J60" s="1133"/>
      <c r="K60" s="8" t="s">
        <v>7</v>
      </c>
      <c r="L60" s="168">
        <f>G65+G69+G74</f>
        <v>5</v>
      </c>
    </row>
    <row r="61" spans="3:12" x14ac:dyDescent="0.25">
      <c r="C61" s="178"/>
      <c r="D61" s="129"/>
      <c r="E61" s="129"/>
      <c r="F61" s="129"/>
      <c r="G61" s="129"/>
      <c r="H61" s="129"/>
      <c r="I61" s="129"/>
      <c r="J61" s="129"/>
      <c r="K61" s="129"/>
      <c r="L61" s="215"/>
    </row>
    <row r="62" spans="3:12" x14ac:dyDescent="0.25">
      <c r="C62" s="178"/>
      <c r="D62" s="585" t="s">
        <v>106</v>
      </c>
      <c r="E62" s="583" t="s">
        <v>248</v>
      </c>
      <c r="F62" s="585" t="s">
        <v>249</v>
      </c>
      <c r="G62" s="585" t="s">
        <v>155</v>
      </c>
      <c r="H62" s="129"/>
      <c r="I62" s="129"/>
      <c r="J62" s="129"/>
      <c r="K62" s="129"/>
      <c r="L62" s="215"/>
    </row>
    <row r="63" spans="3:12" x14ac:dyDescent="0.25">
      <c r="C63" s="178"/>
      <c r="D63" s="581" t="s">
        <v>148</v>
      </c>
      <c r="E63" s="583">
        <v>2.5</v>
      </c>
      <c r="F63" s="585">
        <v>0.65</v>
      </c>
      <c r="G63" s="577">
        <v>1</v>
      </c>
      <c r="H63" s="129"/>
      <c r="I63" s="129"/>
      <c r="J63" s="129"/>
      <c r="K63" s="129"/>
      <c r="L63" s="215"/>
    </row>
    <row r="64" spans="3:12" x14ac:dyDescent="0.25">
      <c r="C64" s="178"/>
      <c r="D64" s="581" t="s">
        <v>141</v>
      </c>
      <c r="E64" s="583">
        <v>2.5</v>
      </c>
      <c r="F64" s="585">
        <v>0.65</v>
      </c>
      <c r="G64" s="577">
        <v>1</v>
      </c>
      <c r="H64" s="129"/>
      <c r="I64" s="129"/>
      <c r="J64" s="129"/>
      <c r="K64" s="129"/>
      <c r="L64" s="215"/>
    </row>
    <row r="65" spans="3:12" x14ac:dyDescent="0.25">
      <c r="C65" s="178"/>
      <c r="D65" s="1106" t="s">
        <v>217</v>
      </c>
      <c r="E65" s="1106"/>
      <c r="F65" s="1106"/>
      <c r="G65" s="577">
        <f>SUM(G63:G64)</f>
        <v>2</v>
      </c>
      <c r="H65" s="129"/>
      <c r="I65" s="129"/>
      <c r="J65" s="129"/>
      <c r="K65" s="129"/>
      <c r="L65" s="215"/>
    </row>
    <row r="66" spans="3:12" ht="15.75" x14ac:dyDescent="0.25">
      <c r="C66" s="178"/>
      <c r="D66" s="113"/>
      <c r="E66" s="113"/>
      <c r="F66" s="113"/>
      <c r="G66" s="113"/>
      <c r="H66" s="129"/>
      <c r="I66" s="129"/>
      <c r="J66" s="129"/>
      <c r="K66" s="129"/>
      <c r="L66" s="215"/>
    </row>
    <row r="67" spans="3:12" x14ac:dyDescent="0.25">
      <c r="C67" s="178"/>
      <c r="D67" s="585" t="s">
        <v>106</v>
      </c>
      <c r="E67" s="583" t="s">
        <v>248</v>
      </c>
      <c r="F67" s="585" t="s">
        <v>249</v>
      </c>
      <c r="G67" s="585" t="s">
        <v>155</v>
      </c>
      <c r="H67" s="129"/>
      <c r="I67" s="129"/>
      <c r="J67" s="129"/>
      <c r="K67" s="129"/>
      <c r="L67" s="215"/>
    </row>
    <row r="68" spans="3:12" x14ac:dyDescent="0.25">
      <c r="C68" s="178"/>
      <c r="D68" s="581" t="s">
        <v>148</v>
      </c>
      <c r="E68" s="584">
        <v>2</v>
      </c>
      <c r="F68" s="577">
        <v>0.65</v>
      </c>
      <c r="G68" s="577">
        <v>2</v>
      </c>
      <c r="H68" s="129"/>
      <c r="I68" s="129"/>
      <c r="J68" s="129"/>
      <c r="K68" s="129"/>
      <c r="L68" s="215"/>
    </row>
    <row r="69" spans="3:12" x14ac:dyDescent="0.25">
      <c r="C69" s="178"/>
      <c r="D69" s="1106" t="s">
        <v>217</v>
      </c>
      <c r="E69" s="1106"/>
      <c r="F69" s="1106"/>
      <c r="G69" s="577">
        <f>G68</f>
        <v>2</v>
      </c>
      <c r="H69" s="129"/>
      <c r="I69" s="129"/>
      <c r="J69" s="129"/>
      <c r="K69" s="129"/>
      <c r="L69" s="215"/>
    </row>
    <row r="70" spans="3:12" x14ac:dyDescent="0.25">
      <c r="C70" s="178"/>
      <c r="D70" s="646"/>
      <c r="E70" s="646"/>
      <c r="F70" s="646"/>
      <c r="G70" s="647"/>
      <c r="H70" s="129"/>
      <c r="I70" s="129"/>
      <c r="J70" s="129"/>
      <c r="K70" s="129"/>
      <c r="L70" s="215"/>
    </row>
    <row r="71" spans="3:12" x14ac:dyDescent="0.25">
      <c r="C71" s="178"/>
      <c r="D71" s="646"/>
      <c r="E71" s="646"/>
      <c r="F71" s="646"/>
      <c r="G71" s="647"/>
      <c r="H71" s="129"/>
      <c r="I71" s="129"/>
      <c r="J71" s="129"/>
      <c r="K71" s="129"/>
      <c r="L71" s="215"/>
    </row>
    <row r="72" spans="3:12" x14ac:dyDescent="0.25">
      <c r="C72" s="178"/>
      <c r="D72" s="585" t="s">
        <v>106</v>
      </c>
      <c r="E72" s="583" t="s">
        <v>248</v>
      </c>
      <c r="F72" s="585" t="s">
        <v>249</v>
      </c>
      <c r="G72" s="585" t="s">
        <v>155</v>
      </c>
      <c r="H72" s="129"/>
      <c r="I72" s="129"/>
      <c r="J72" s="129"/>
      <c r="K72" s="129"/>
      <c r="L72" s="215"/>
    </row>
    <row r="73" spans="3:12" x14ac:dyDescent="0.25">
      <c r="C73" s="178"/>
      <c r="D73" s="581" t="s">
        <v>148</v>
      </c>
      <c r="E73" s="583">
        <v>1.5</v>
      </c>
      <c r="F73" s="585">
        <v>0.65</v>
      </c>
      <c r="G73" s="577">
        <v>1</v>
      </c>
      <c r="H73" s="129"/>
      <c r="I73" s="129"/>
      <c r="J73" s="129"/>
      <c r="K73" s="129"/>
      <c r="L73" s="215"/>
    </row>
    <row r="74" spans="3:12" x14ac:dyDescent="0.25">
      <c r="C74" s="178"/>
      <c r="D74" s="1106" t="s">
        <v>217</v>
      </c>
      <c r="E74" s="1106"/>
      <c r="F74" s="1106"/>
      <c r="G74" s="577">
        <v>1</v>
      </c>
      <c r="H74" s="129"/>
      <c r="I74" s="129"/>
      <c r="J74" s="129"/>
      <c r="K74" s="129"/>
      <c r="L74" s="215"/>
    </row>
    <row r="75" spans="3:12" x14ac:dyDescent="0.25">
      <c r="C75" s="178"/>
      <c r="D75" s="129"/>
      <c r="E75" s="129"/>
      <c r="F75" s="129"/>
      <c r="G75" s="129"/>
      <c r="H75" s="129"/>
      <c r="I75" s="129"/>
      <c r="J75" s="129"/>
      <c r="K75" s="129"/>
      <c r="L75" s="215"/>
    </row>
    <row r="76" spans="3:12" ht="15.75" x14ac:dyDescent="0.25">
      <c r="C76" s="244" t="s">
        <v>20</v>
      </c>
      <c r="D76" s="1133" t="s">
        <v>21</v>
      </c>
      <c r="E76" s="1133"/>
      <c r="F76" s="1133"/>
      <c r="G76" s="1133"/>
      <c r="H76" s="1133"/>
      <c r="I76" s="1133"/>
      <c r="J76" s="1133"/>
      <c r="K76" s="8" t="s">
        <v>8</v>
      </c>
      <c r="L76" s="168">
        <f>E82</f>
        <v>118</v>
      </c>
    </row>
    <row r="77" spans="3:12" x14ac:dyDescent="0.25">
      <c r="C77" s="178"/>
      <c r="D77" s="129"/>
      <c r="E77" s="129"/>
      <c r="F77" s="129"/>
      <c r="G77" s="129"/>
      <c r="H77" s="129"/>
      <c r="I77" s="129"/>
      <c r="J77" s="129"/>
      <c r="K77" s="129"/>
      <c r="L77" s="215"/>
    </row>
    <row r="78" spans="3:12" x14ac:dyDescent="0.25">
      <c r="C78" s="178"/>
      <c r="D78" s="585" t="s">
        <v>355</v>
      </c>
      <c r="E78" s="577">
        <v>30</v>
      </c>
      <c r="F78" s="129"/>
      <c r="G78" s="129"/>
      <c r="H78" s="129"/>
      <c r="I78" s="129"/>
      <c r="J78" s="129"/>
      <c r="K78" s="129"/>
      <c r="L78" s="215"/>
    </row>
    <row r="79" spans="3:12" x14ac:dyDescent="0.25">
      <c r="C79" s="178"/>
      <c r="D79" s="585" t="s">
        <v>357</v>
      </c>
      <c r="E79" s="577">
        <v>30</v>
      </c>
      <c r="F79" s="129"/>
      <c r="G79" s="129"/>
      <c r="H79" s="129"/>
      <c r="I79" s="129"/>
      <c r="J79" s="129"/>
      <c r="K79" s="129"/>
      <c r="L79" s="215"/>
    </row>
    <row r="80" spans="3:12" x14ac:dyDescent="0.25">
      <c r="C80" s="178"/>
      <c r="D80" s="585" t="s">
        <v>358</v>
      </c>
      <c r="E80" s="577">
        <v>20</v>
      </c>
      <c r="F80" s="129"/>
      <c r="G80" s="129"/>
      <c r="H80" s="129"/>
      <c r="I80" s="129"/>
      <c r="J80" s="129"/>
      <c r="K80" s="129"/>
      <c r="L80" s="215"/>
    </row>
    <row r="81" spans="3:12" x14ac:dyDescent="0.25">
      <c r="C81" s="178"/>
      <c r="D81" s="585" t="s">
        <v>359</v>
      </c>
      <c r="E81" s="577">
        <v>38</v>
      </c>
      <c r="F81" s="129"/>
      <c r="G81" s="129"/>
      <c r="H81" s="129"/>
      <c r="I81" s="129"/>
      <c r="J81" s="129"/>
      <c r="K81" s="129"/>
      <c r="L81" s="215"/>
    </row>
    <row r="82" spans="3:12" x14ac:dyDescent="0.25">
      <c r="C82" s="178"/>
      <c r="D82" s="585" t="s">
        <v>217</v>
      </c>
      <c r="E82" s="577">
        <f>SUM(E78:E81)</f>
        <v>118</v>
      </c>
      <c r="F82" s="129"/>
      <c r="G82" s="129"/>
      <c r="H82" s="129"/>
      <c r="I82" s="129"/>
      <c r="J82" s="129"/>
      <c r="K82" s="129"/>
      <c r="L82" s="215"/>
    </row>
    <row r="83" spans="3:12" x14ac:dyDescent="0.25">
      <c r="C83" s="178"/>
      <c r="D83" s="129"/>
      <c r="E83" s="129"/>
      <c r="F83" s="129"/>
      <c r="G83" s="129"/>
      <c r="H83" s="129"/>
      <c r="I83" s="129"/>
      <c r="J83" s="129"/>
      <c r="K83" s="129"/>
      <c r="L83" s="215"/>
    </row>
    <row r="84" spans="3:12" ht="15.75" x14ac:dyDescent="0.25">
      <c r="C84" s="244" t="s">
        <v>22</v>
      </c>
      <c r="D84" s="1133" t="s">
        <v>23</v>
      </c>
      <c r="E84" s="1133"/>
      <c r="F84" s="1133"/>
      <c r="G84" s="1133"/>
      <c r="H84" s="1133"/>
      <c r="I84" s="1133"/>
      <c r="J84" s="1133"/>
      <c r="K84" s="8" t="s">
        <v>7</v>
      </c>
      <c r="L84" s="168">
        <f>E87</f>
        <v>1</v>
      </c>
    </row>
    <row r="85" spans="3:12" x14ac:dyDescent="0.25">
      <c r="C85" s="178"/>
      <c r="D85" s="129"/>
      <c r="E85" s="129"/>
      <c r="F85" s="129"/>
      <c r="G85" s="129"/>
      <c r="H85" s="129"/>
      <c r="I85" s="129"/>
      <c r="J85" s="129"/>
      <c r="K85" s="129"/>
      <c r="L85" s="215"/>
    </row>
    <row r="86" spans="3:12" x14ac:dyDescent="0.25">
      <c r="C86" s="178"/>
      <c r="D86" s="585" t="s">
        <v>106</v>
      </c>
      <c r="E86" s="585" t="s">
        <v>155</v>
      </c>
      <c r="F86" s="129"/>
      <c r="G86" s="129"/>
      <c r="H86" s="129"/>
      <c r="I86" s="129"/>
      <c r="J86" s="129"/>
      <c r="K86" s="129"/>
      <c r="L86" s="215"/>
    </row>
    <row r="87" spans="3:12" x14ac:dyDescent="0.25">
      <c r="C87" s="178"/>
      <c r="D87" s="585" t="s">
        <v>356</v>
      </c>
      <c r="E87" s="577">
        <v>1</v>
      </c>
      <c r="F87" s="129"/>
      <c r="G87" s="129"/>
      <c r="H87" s="129"/>
      <c r="I87" s="129"/>
      <c r="J87" s="129"/>
      <c r="K87" s="129"/>
      <c r="L87" s="215"/>
    </row>
    <row r="88" spans="3:12" x14ac:dyDescent="0.25">
      <c r="C88" s="178"/>
      <c r="D88" s="129"/>
      <c r="E88" s="129"/>
      <c r="F88" s="129"/>
      <c r="G88" s="129"/>
      <c r="H88" s="129"/>
      <c r="I88" s="129"/>
      <c r="J88" s="129"/>
      <c r="K88" s="129"/>
      <c r="L88" s="215"/>
    </row>
    <row r="89" spans="3:12" ht="15.75" x14ac:dyDescent="0.25">
      <c r="C89" s="244" t="s">
        <v>24</v>
      </c>
      <c r="D89" s="1133" t="s">
        <v>25</v>
      </c>
      <c r="E89" s="1133"/>
      <c r="F89" s="1133"/>
      <c r="G89" s="1133"/>
      <c r="H89" s="1133"/>
      <c r="I89" s="1133"/>
      <c r="J89" s="1133"/>
      <c r="K89" s="8" t="s">
        <v>7</v>
      </c>
      <c r="L89" s="168">
        <f>E92</f>
        <v>1</v>
      </c>
    </row>
    <row r="90" spans="3:12" x14ac:dyDescent="0.25">
      <c r="C90" s="178"/>
      <c r="D90" s="129"/>
      <c r="E90" s="129"/>
      <c r="F90" s="129"/>
      <c r="G90" s="129"/>
      <c r="H90" s="129"/>
      <c r="I90" s="129"/>
      <c r="J90" s="129"/>
      <c r="K90" s="129"/>
      <c r="L90" s="215"/>
    </row>
    <row r="91" spans="3:12" x14ac:dyDescent="0.25">
      <c r="C91" s="178"/>
      <c r="D91" s="585" t="s">
        <v>106</v>
      </c>
      <c r="E91" s="585" t="s">
        <v>155</v>
      </c>
      <c r="F91" s="129"/>
      <c r="G91" s="129"/>
      <c r="H91" s="129"/>
      <c r="I91" s="129"/>
      <c r="J91" s="129"/>
      <c r="K91" s="129"/>
      <c r="L91" s="215"/>
    </row>
    <row r="92" spans="3:12" x14ac:dyDescent="0.25">
      <c r="C92" s="178"/>
      <c r="D92" s="585" t="s">
        <v>356</v>
      </c>
      <c r="E92" s="577">
        <v>1</v>
      </c>
      <c r="F92" s="129"/>
      <c r="G92" s="129"/>
      <c r="H92" s="129"/>
      <c r="I92" s="129"/>
      <c r="J92" s="129"/>
      <c r="K92" s="129"/>
      <c r="L92" s="215"/>
    </row>
    <row r="93" spans="3:12" x14ac:dyDescent="0.25">
      <c r="C93" s="178"/>
      <c r="D93" s="129"/>
      <c r="E93" s="129"/>
      <c r="F93" s="129"/>
      <c r="G93" s="129"/>
      <c r="H93" s="129"/>
      <c r="I93" s="129"/>
      <c r="J93" s="129"/>
      <c r="K93" s="129"/>
      <c r="L93" s="215"/>
    </row>
    <row r="94" spans="3:12" ht="15.75" x14ac:dyDescent="0.25">
      <c r="C94" s="244" t="s">
        <v>531</v>
      </c>
      <c r="D94" s="951" t="s">
        <v>532</v>
      </c>
      <c r="E94" s="951"/>
      <c r="F94" s="951"/>
      <c r="G94" s="951"/>
      <c r="H94" s="951"/>
      <c r="I94" s="951"/>
      <c r="J94" s="951"/>
      <c r="K94" s="8" t="s">
        <v>7</v>
      </c>
      <c r="L94" s="263">
        <v>3</v>
      </c>
    </row>
    <row r="95" spans="3:12" x14ac:dyDescent="0.25">
      <c r="C95" s="178"/>
      <c r="D95" s="130"/>
      <c r="E95" s="130"/>
      <c r="F95" s="130"/>
      <c r="G95" s="130"/>
      <c r="H95" s="130"/>
      <c r="I95" s="130"/>
      <c r="J95" s="130"/>
      <c r="K95" s="129"/>
      <c r="L95" s="215"/>
    </row>
    <row r="96" spans="3:12" ht="15.75" x14ac:dyDescent="0.25">
      <c r="C96" s="244" t="s">
        <v>534</v>
      </c>
      <c r="D96" s="951" t="s">
        <v>535</v>
      </c>
      <c r="E96" s="951"/>
      <c r="F96" s="951"/>
      <c r="G96" s="951"/>
      <c r="H96" s="951"/>
      <c r="I96" s="951"/>
      <c r="J96" s="951"/>
      <c r="K96" s="8" t="s">
        <v>7</v>
      </c>
      <c r="L96" s="263">
        <v>1</v>
      </c>
    </row>
    <row r="97" spans="3:12" x14ac:dyDescent="0.25">
      <c r="C97" s="178"/>
      <c r="D97" s="130"/>
      <c r="E97" s="130"/>
      <c r="F97" s="130"/>
      <c r="G97" s="130"/>
      <c r="H97" s="130"/>
      <c r="I97" s="130"/>
      <c r="J97" s="130"/>
      <c r="K97" s="129"/>
      <c r="L97" s="215"/>
    </row>
    <row r="98" spans="3:12" ht="15.75" x14ac:dyDescent="0.25">
      <c r="C98" s="244" t="s">
        <v>537</v>
      </c>
      <c r="D98" s="951" t="s">
        <v>538</v>
      </c>
      <c r="E98" s="951"/>
      <c r="F98" s="951"/>
      <c r="G98" s="951"/>
      <c r="H98" s="951"/>
      <c r="I98" s="951"/>
      <c r="J98" s="951"/>
      <c r="K98" s="8" t="s">
        <v>7</v>
      </c>
      <c r="L98" s="264">
        <v>3</v>
      </c>
    </row>
    <row r="99" spans="3:12" x14ac:dyDescent="0.25">
      <c r="C99" s="178"/>
      <c r="D99" s="130"/>
      <c r="E99" s="130"/>
      <c r="F99" s="130"/>
      <c r="G99" s="130"/>
      <c r="H99" s="130"/>
      <c r="I99" s="130"/>
      <c r="J99" s="130"/>
      <c r="K99" s="129"/>
      <c r="L99" s="265"/>
    </row>
    <row r="100" spans="3:12" ht="15.75" x14ac:dyDescent="0.25">
      <c r="C100" s="244" t="s">
        <v>539</v>
      </c>
      <c r="D100" s="951" t="s">
        <v>540</v>
      </c>
      <c r="E100" s="951"/>
      <c r="F100" s="951"/>
      <c r="G100" s="951"/>
      <c r="H100" s="951"/>
      <c r="I100" s="951"/>
      <c r="J100" s="951"/>
      <c r="K100" s="8" t="s">
        <v>7</v>
      </c>
      <c r="L100" s="266">
        <v>4</v>
      </c>
    </row>
    <row r="101" spans="3:12" x14ac:dyDescent="0.25">
      <c r="C101" s="178"/>
      <c r="D101" s="130"/>
      <c r="E101" s="130"/>
      <c r="F101" s="130"/>
      <c r="G101" s="130"/>
      <c r="H101" s="130"/>
      <c r="I101" s="130"/>
      <c r="J101" s="130"/>
      <c r="K101" s="129"/>
      <c r="L101" s="265"/>
    </row>
    <row r="102" spans="3:12" ht="15.75" x14ac:dyDescent="0.25">
      <c r="C102" s="244" t="s">
        <v>539</v>
      </c>
      <c r="D102" s="951" t="s">
        <v>541</v>
      </c>
      <c r="E102" s="951"/>
      <c r="F102" s="951"/>
      <c r="G102" s="951"/>
      <c r="H102" s="951"/>
      <c r="I102" s="951"/>
      <c r="J102" s="951"/>
      <c r="K102" s="8" t="s">
        <v>7</v>
      </c>
      <c r="L102" s="266">
        <v>3</v>
      </c>
    </row>
    <row r="103" spans="3:12" x14ac:dyDescent="0.25">
      <c r="C103" s="178"/>
      <c r="D103" s="130"/>
      <c r="E103" s="130"/>
      <c r="F103" s="130"/>
      <c r="G103" s="130"/>
      <c r="H103" s="130"/>
      <c r="I103" s="130"/>
      <c r="J103" s="130"/>
      <c r="K103" s="129"/>
      <c r="L103" s="265"/>
    </row>
    <row r="104" spans="3:12" ht="15.75" x14ac:dyDescent="0.25">
      <c r="C104" s="244" t="s">
        <v>542</v>
      </c>
      <c r="D104" s="951" t="s">
        <v>543</v>
      </c>
      <c r="E104" s="951"/>
      <c r="F104" s="951"/>
      <c r="G104" s="951"/>
      <c r="H104" s="951"/>
      <c r="I104" s="951"/>
      <c r="J104" s="951"/>
      <c r="K104" s="8" t="s">
        <v>7</v>
      </c>
      <c r="L104" s="266">
        <v>1</v>
      </c>
    </row>
    <row r="105" spans="3:12" x14ac:dyDescent="0.25">
      <c r="C105" s="178"/>
      <c r="D105" s="130"/>
      <c r="E105" s="130"/>
      <c r="F105" s="130"/>
      <c r="G105" s="130"/>
      <c r="H105" s="130"/>
      <c r="I105" s="130"/>
      <c r="J105" s="130"/>
      <c r="K105" s="129"/>
      <c r="L105" s="265"/>
    </row>
    <row r="106" spans="3:12" ht="15.75" x14ac:dyDescent="0.25">
      <c r="C106" s="244" t="s">
        <v>497</v>
      </c>
      <c r="D106" s="951" t="s">
        <v>544</v>
      </c>
      <c r="E106" s="951"/>
      <c r="F106" s="951"/>
      <c r="G106" s="951"/>
      <c r="H106" s="951"/>
      <c r="I106" s="951"/>
      <c r="J106" s="951"/>
      <c r="K106" s="8" t="s">
        <v>7</v>
      </c>
      <c r="L106" s="266">
        <v>1</v>
      </c>
    </row>
    <row r="107" spans="3:12" x14ac:dyDescent="0.25">
      <c r="C107" s="178"/>
      <c r="D107" s="130"/>
      <c r="E107" s="130"/>
      <c r="F107" s="130"/>
      <c r="G107" s="130"/>
      <c r="H107" s="130"/>
      <c r="I107" s="130"/>
      <c r="J107" s="130"/>
      <c r="K107" s="129"/>
      <c r="L107" s="265"/>
    </row>
    <row r="108" spans="3:12" ht="15.75" x14ac:dyDescent="0.25">
      <c r="C108" s="244" t="s">
        <v>493</v>
      </c>
      <c r="D108" s="951" t="s">
        <v>545</v>
      </c>
      <c r="E108" s="951"/>
      <c r="F108" s="951"/>
      <c r="G108" s="951"/>
      <c r="H108" s="951"/>
      <c r="I108" s="951"/>
      <c r="J108" s="951"/>
      <c r="K108" s="8" t="s">
        <v>7</v>
      </c>
      <c r="L108" s="266">
        <v>3</v>
      </c>
    </row>
    <row r="109" spans="3:12" x14ac:dyDescent="0.25">
      <c r="C109" s="178"/>
      <c r="D109" s="130"/>
      <c r="E109" s="130"/>
      <c r="F109" s="130"/>
      <c r="G109" s="130"/>
      <c r="H109" s="130"/>
      <c r="I109" s="130"/>
      <c r="J109" s="130"/>
      <c r="K109" s="129"/>
      <c r="L109" s="265"/>
    </row>
    <row r="110" spans="3:12" ht="15.75" x14ac:dyDescent="0.25">
      <c r="C110" s="244" t="s">
        <v>546</v>
      </c>
      <c r="D110" s="951" t="s">
        <v>547</v>
      </c>
      <c r="E110" s="951"/>
      <c r="F110" s="951"/>
      <c r="G110" s="951"/>
      <c r="H110" s="951"/>
      <c r="I110" s="951"/>
      <c r="J110" s="951"/>
      <c r="K110" s="8" t="s">
        <v>7</v>
      </c>
      <c r="L110" s="266">
        <v>1</v>
      </c>
    </row>
    <row r="111" spans="3:12" x14ac:dyDescent="0.25">
      <c r="C111" s="178"/>
      <c r="D111" s="130"/>
      <c r="E111" s="130"/>
      <c r="F111" s="130"/>
      <c r="G111" s="130"/>
      <c r="H111" s="130"/>
      <c r="I111" s="130"/>
      <c r="J111" s="130"/>
      <c r="K111" s="129"/>
      <c r="L111" s="265"/>
    </row>
    <row r="112" spans="3:12" ht="15.75" x14ac:dyDescent="0.25">
      <c r="C112" s="244" t="s">
        <v>493</v>
      </c>
      <c r="D112" s="951" t="s">
        <v>548</v>
      </c>
      <c r="E112" s="951"/>
      <c r="F112" s="951"/>
      <c r="G112" s="951"/>
      <c r="H112" s="951"/>
      <c r="I112" s="951"/>
      <c r="J112" s="951"/>
      <c r="K112" s="8" t="s">
        <v>7</v>
      </c>
      <c r="L112" s="266">
        <v>9</v>
      </c>
    </row>
    <row r="113" spans="3:12" x14ac:dyDescent="0.25">
      <c r="C113" s="178"/>
      <c r="D113" s="130"/>
      <c r="E113" s="130"/>
      <c r="F113" s="130"/>
      <c r="G113" s="130"/>
      <c r="H113" s="130"/>
      <c r="I113" s="130"/>
      <c r="J113" s="130"/>
      <c r="K113" s="129"/>
      <c r="L113" s="265"/>
    </row>
    <row r="114" spans="3:12" ht="15.75" x14ac:dyDescent="0.25">
      <c r="C114" s="244" t="s">
        <v>497</v>
      </c>
      <c r="D114" s="951" t="s">
        <v>549</v>
      </c>
      <c r="E114" s="951"/>
      <c r="F114" s="951"/>
      <c r="G114" s="951"/>
      <c r="H114" s="951"/>
      <c r="I114" s="951"/>
      <c r="J114" s="951"/>
      <c r="K114" s="8" t="s">
        <v>7</v>
      </c>
      <c r="L114" s="266">
        <v>1</v>
      </c>
    </row>
    <row r="115" spans="3:12" x14ac:dyDescent="0.25">
      <c r="C115" s="178"/>
      <c r="D115" s="130"/>
      <c r="E115" s="130"/>
      <c r="F115" s="130"/>
      <c r="G115" s="130"/>
      <c r="H115" s="130"/>
      <c r="I115" s="130"/>
      <c r="J115" s="130"/>
      <c r="K115" s="129"/>
      <c r="L115" s="267"/>
    </row>
    <row r="116" spans="3:12" ht="15.75" x14ac:dyDescent="0.25">
      <c r="C116" s="244" t="s">
        <v>497</v>
      </c>
      <c r="D116" s="951" t="s">
        <v>550</v>
      </c>
      <c r="E116" s="951"/>
      <c r="F116" s="951"/>
      <c r="G116" s="951"/>
      <c r="H116" s="951"/>
      <c r="I116" s="951"/>
      <c r="J116" s="951"/>
      <c r="K116" s="8" t="s">
        <v>7</v>
      </c>
      <c r="L116" s="266">
        <v>1</v>
      </c>
    </row>
    <row r="117" spans="3:12" x14ac:dyDescent="0.25">
      <c r="C117" s="178"/>
      <c r="D117" s="130"/>
      <c r="E117" s="130"/>
      <c r="F117" s="130"/>
      <c r="G117" s="130"/>
      <c r="H117" s="130"/>
      <c r="I117" s="130"/>
      <c r="J117" s="130"/>
      <c r="K117" s="129"/>
      <c r="L117" s="265"/>
    </row>
    <row r="118" spans="3:12" ht="15.75" x14ac:dyDescent="0.25">
      <c r="C118" s="244" t="s">
        <v>551</v>
      </c>
      <c r="D118" s="951" t="s">
        <v>552</v>
      </c>
      <c r="E118" s="951"/>
      <c r="F118" s="951"/>
      <c r="G118" s="951"/>
      <c r="H118" s="951"/>
      <c r="I118" s="951"/>
      <c r="J118" s="951"/>
      <c r="K118" s="8" t="s">
        <v>7</v>
      </c>
      <c r="L118" s="266">
        <v>1</v>
      </c>
    </row>
    <row r="119" spans="3:12" x14ac:dyDescent="0.25">
      <c r="C119" s="178"/>
      <c r="D119" s="130"/>
      <c r="E119" s="130"/>
      <c r="F119" s="130"/>
      <c r="G119" s="130"/>
      <c r="H119" s="130"/>
      <c r="I119" s="130"/>
      <c r="J119" s="130"/>
      <c r="K119" s="129"/>
      <c r="L119" s="265"/>
    </row>
    <row r="120" spans="3:12" ht="15.75" x14ac:dyDescent="0.25">
      <c r="C120" s="244" t="s">
        <v>497</v>
      </c>
      <c r="D120" s="951" t="s">
        <v>553</v>
      </c>
      <c r="E120" s="951"/>
      <c r="F120" s="951"/>
      <c r="G120" s="951"/>
      <c r="H120" s="951"/>
      <c r="I120" s="951"/>
      <c r="J120" s="951"/>
      <c r="K120" s="8" t="s">
        <v>7</v>
      </c>
      <c r="L120" s="266">
        <v>1</v>
      </c>
    </row>
    <row r="121" spans="3:12" x14ac:dyDescent="0.25">
      <c r="C121" s="178"/>
      <c r="D121" s="130"/>
      <c r="E121" s="130"/>
      <c r="F121" s="130"/>
      <c r="G121" s="130"/>
      <c r="H121" s="130"/>
      <c r="I121" s="130"/>
      <c r="J121" s="130"/>
      <c r="K121" s="129"/>
      <c r="L121" s="265"/>
    </row>
    <row r="122" spans="3:12" ht="15.75" x14ac:dyDescent="0.25">
      <c r="C122" s="244" t="s">
        <v>551</v>
      </c>
      <c r="D122" s="951" t="s">
        <v>509</v>
      </c>
      <c r="E122" s="951"/>
      <c r="F122" s="951"/>
      <c r="G122" s="951"/>
      <c r="H122" s="951"/>
      <c r="I122" s="951"/>
      <c r="J122" s="951"/>
      <c r="K122" s="8" t="s">
        <v>7</v>
      </c>
      <c r="L122" s="247">
        <v>1</v>
      </c>
    </row>
    <row r="123" spans="3:12" x14ac:dyDescent="0.25">
      <c r="C123" s="178"/>
      <c r="D123" s="130"/>
      <c r="E123" s="130"/>
      <c r="F123" s="130"/>
      <c r="G123" s="130"/>
      <c r="H123" s="130"/>
      <c r="I123" s="130"/>
      <c r="J123" s="130"/>
      <c r="K123" s="129"/>
      <c r="L123" s="265"/>
    </row>
    <row r="124" spans="3:12" ht="15.75" x14ac:dyDescent="0.25">
      <c r="C124" s="244" t="s">
        <v>551</v>
      </c>
      <c r="D124" s="951" t="s">
        <v>554</v>
      </c>
      <c r="E124" s="951"/>
      <c r="F124" s="951"/>
      <c r="G124" s="951"/>
      <c r="H124" s="951"/>
      <c r="I124" s="951"/>
      <c r="J124" s="951"/>
      <c r="K124" s="8" t="s">
        <v>7</v>
      </c>
      <c r="L124" s="247">
        <v>4</v>
      </c>
    </row>
    <row r="125" spans="3:12" x14ac:dyDescent="0.25">
      <c r="C125" s="178"/>
      <c r="D125" s="130"/>
      <c r="E125" s="130"/>
      <c r="F125" s="130"/>
      <c r="G125" s="130"/>
      <c r="H125" s="130"/>
      <c r="I125" s="130"/>
      <c r="J125" s="130"/>
      <c r="K125" s="129"/>
      <c r="L125" s="265"/>
    </row>
    <row r="126" spans="3:12" ht="15.75" x14ac:dyDescent="0.25">
      <c r="C126" s="244" t="s">
        <v>497</v>
      </c>
      <c r="D126" s="951" t="s">
        <v>555</v>
      </c>
      <c r="E126" s="951"/>
      <c r="F126" s="951"/>
      <c r="G126" s="951"/>
      <c r="H126" s="951"/>
      <c r="I126" s="951"/>
      <c r="J126" s="951"/>
      <c r="K126" s="8" t="s">
        <v>7</v>
      </c>
      <c r="L126" s="247">
        <v>1</v>
      </c>
    </row>
    <row r="127" spans="3:12" x14ac:dyDescent="0.25">
      <c r="C127" s="178"/>
      <c r="D127" s="130"/>
      <c r="E127" s="130"/>
      <c r="F127" s="130"/>
      <c r="G127" s="130"/>
      <c r="H127" s="130"/>
      <c r="I127" s="130"/>
      <c r="J127" s="130"/>
      <c r="K127" s="129"/>
      <c r="L127" s="265"/>
    </row>
    <row r="128" spans="3:12" ht="15.75" x14ac:dyDescent="0.25">
      <c r="C128" s="244" t="s">
        <v>539</v>
      </c>
      <c r="D128" s="951" t="s">
        <v>556</v>
      </c>
      <c r="E128" s="951"/>
      <c r="F128" s="951"/>
      <c r="G128" s="951"/>
      <c r="H128" s="951"/>
      <c r="I128" s="951"/>
      <c r="J128" s="951"/>
      <c r="K128" s="8" t="s">
        <v>7</v>
      </c>
      <c r="L128" s="247">
        <v>6</v>
      </c>
    </row>
    <row r="129" spans="3:12" x14ac:dyDescent="0.25">
      <c r="C129" s="178"/>
      <c r="D129" s="130"/>
      <c r="E129" s="130"/>
      <c r="F129" s="130"/>
      <c r="G129" s="130"/>
      <c r="H129" s="130"/>
      <c r="I129" s="130"/>
      <c r="J129" s="130"/>
      <c r="K129" s="129"/>
      <c r="L129" s="265"/>
    </row>
    <row r="130" spans="3:12" ht="15.75" x14ac:dyDescent="0.25">
      <c r="C130" s="244" t="s">
        <v>539</v>
      </c>
      <c r="D130" s="951" t="s">
        <v>557</v>
      </c>
      <c r="E130" s="951"/>
      <c r="F130" s="951"/>
      <c r="G130" s="951"/>
      <c r="H130" s="951"/>
      <c r="I130" s="951"/>
      <c r="J130" s="951"/>
      <c r="K130" s="8" t="s">
        <v>7</v>
      </c>
      <c r="L130" s="247">
        <v>3</v>
      </c>
    </row>
    <row r="131" spans="3:12" x14ac:dyDescent="0.25">
      <c r="C131" s="178"/>
      <c r="D131" s="130"/>
      <c r="E131" s="130"/>
      <c r="F131" s="130"/>
      <c r="G131" s="130"/>
      <c r="H131" s="130"/>
      <c r="I131" s="130"/>
      <c r="J131" s="130"/>
      <c r="K131" s="129"/>
      <c r="L131" s="265"/>
    </row>
    <row r="132" spans="3:12" ht="15.75" x14ac:dyDescent="0.25">
      <c r="C132" s="244" t="s">
        <v>558</v>
      </c>
      <c r="D132" s="951" t="s">
        <v>559</v>
      </c>
      <c r="E132" s="951"/>
      <c r="F132" s="951"/>
      <c r="G132" s="951"/>
      <c r="H132" s="951"/>
      <c r="I132" s="951"/>
      <c r="J132" s="951"/>
      <c r="K132" s="8" t="s">
        <v>7</v>
      </c>
      <c r="L132" s="247">
        <v>2</v>
      </c>
    </row>
    <row r="133" spans="3:12" x14ac:dyDescent="0.25">
      <c r="C133" s="178"/>
      <c r="D133" s="130"/>
      <c r="E133" s="130"/>
      <c r="F133" s="130"/>
      <c r="G133" s="130"/>
      <c r="H133" s="130"/>
      <c r="I133" s="130"/>
      <c r="J133" s="130"/>
      <c r="K133" s="129"/>
      <c r="L133" s="265"/>
    </row>
    <row r="134" spans="3:12" ht="15.75" x14ac:dyDescent="0.25">
      <c r="C134" s="244" t="s">
        <v>539</v>
      </c>
      <c r="D134" s="951" t="s">
        <v>560</v>
      </c>
      <c r="E134" s="951"/>
      <c r="F134" s="951"/>
      <c r="G134" s="951"/>
      <c r="H134" s="951"/>
      <c r="I134" s="951"/>
      <c r="J134" s="951"/>
      <c r="K134" s="8" t="s">
        <v>7</v>
      </c>
      <c r="L134" s="247">
        <v>5</v>
      </c>
    </row>
    <row r="135" spans="3:12" x14ac:dyDescent="0.25">
      <c r="C135" s="178"/>
      <c r="D135" s="130"/>
      <c r="E135" s="130"/>
      <c r="F135" s="130"/>
      <c r="G135" s="130"/>
      <c r="H135" s="130"/>
      <c r="I135" s="130"/>
      <c r="J135" s="130"/>
      <c r="K135" s="129"/>
      <c r="L135" s="265"/>
    </row>
    <row r="136" spans="3:12" ht="15.75" x14ac:dyDescent="0.25">
      <c r="C136" s="244" t="s">
        <v>225</v>
      </c>
      <c r="D136" s="951" t="s">
        <v>226</v>
      </c>
      <c r="E136" s="951"/>
      <c r="F136" s="951"/>
      <c r="G136" s="951"/>
      <c r="H136" s="951"/>
      <c r="I136" s="951"/>
      <c r="J136" s="951"/>
      <c r="K136" s="8" t="s">
        <v>7</v>
      </c>
      <c r="L136" s="195">
        <v>6</v>
      </c>
    </row>
    <row r="137" spans="3:12" x14ac:dyDescent="0.25">
      <c r="C137" s="178"/>
      <c r="D137" s="129"/>
      <c r="E137" s="129"/>
      <c r="F137" s="129"/>
      <c r="G137" s="129"/>
      <c r="H137" s="129"/>
      <c r="I137" s="129"/>
      <c r="J137" s="129"/>
      <c r="K137" s="129"/>
      <c r="L137" s="215"/>
    </row>
    <row r="138" spans="3:12" ht="15.75" x14ac:dyDescent="0.25">
      <c r="C138" s="244" t="s">
        <v>479</v>
      </c>
      <c r="D138" s="1133" t="s">
        <v>480</v>
      </c>
      <c r="E138" s="1133"/>
      <c r="F138" s="1133"/>
      <c r="G138" s="1133"/>
      <c r="H138" s="1133"/>
      <c r="I138" s="1133"/>
      <c r="J138" s="1133"/>
      <c r="K138" s="8" t="s">
        <v>42</v>
      </c>
      <c r="L138" s="168">
        <f>F141</f>
        <v>12</v>
      </c>
    </row>
    <row r="139" spans="3:12" x14ac:dyDescent="0.25">
      <c r="C139" s="178"/>
      <c r="D139" s="129"/>
      <c r="E139" s="129"/>
      <c r="F139" s="129"/>
      <c r="G139" s="129"/>
      <c r="H139" s="129"/>
      <c r="I139" s="129"/>
      <c r="J139" s="129"/>
      <c r="K139" s="129"/>
      <c r="L139" s="215"/>
    </row>
    <row r="140" spans="3:12" x14ac:dyDescent="0.25">
      <c r="C140" s="178"/>
      <c r="D140" s="579" t="s">
        <v>604</v>
      </c>
      <c r="E140" s="579" t="s">
        <v>42</v>
      </c>
      <c r="F140" s="578" t="s">
        <v>77</v>
      </c>
      <c r="G140" s="129"/>
      <c r="H140" s="129"/>
      <c r="I140" s="129"/>
      <c r="J140" s="129"/>
      <c r="K140" s="129"/>
      <c r="L140" s="215"/>
    </row>
    <row r="141" spans="3:12" x14ac:dyDescent="0.25">
      <c r="C141" s="178"/>
      <c r="D141" s="108">
        <v>1</v>
      </c>
      <c r="E141" s="108">
        <v>12</v>
      </c>
      <c r="F141" s="68">
        <f>D141*E141</f>
        <v>12</v>
      </c>
      <c r="G141" s="129"/>
      <c r="H141" s="129"/>
      <c r="I141" s="129"/>
      <c r="J141" s="129"/>
      <c r="K141" s="129"/>
      <c r="L141" s="215"/>
    </row>
    <row r="142" spans="3:12" x14ac:dyDescent="0.25">
      <c r="C142" s="177"/>
      <c r="D142" s="136"/>
      <c r="E142" s="136"/>
      <c r="F142" s="136"/>
      <c r="G142" s="136"/>
      <c r="H142" s="136"/>
      <c r="I142" s="136"/>
      <c r="J142" s="136"/>
      <c r="K142" s="136"/>
      <c r="L142" s="270"/>
    </row>
    <row r="143" spans="3:12" ht="15.6" customHeight="1" x14ac:dyDescent="0.25">
      <c r="C143" s="559" t="s">
        <v>740</v>
      </c>
      <c r="D143" s="1102" t="s">
        <v>741</v>
      </c>
      <c r="E143" s="1102"/>
      <c r="F143" s="1102"/>
      <c r="G143" s="1102"/>
      <c r="H143" s="1102"/>
      <c r="I143" s="1102"/>
      <c r="J143" s="1102"/>
      <c r="K143" s="520" t="s">
        <v>5</v>
      </c>
      <c r="L143" s="560">
        <f>E151</f>
        <v>13</v>
      </c>
    </row>
    <row r="144" spans="3:12" x14ac:dyDescent="0.25">
      <c r="C144" s="189"/>
      <c r="D144" s="39"/>
      <c r="E144" s="39"/>
      <c r="F144" s="25"/>
      <c r="G144" s="25"/>
      <c r="H144" s="25"/>
      <c r="I144" s="25"/>
      <c r="J144" s="25"/>
      <c r="K144" s="25"/>
      <c r="L144" s="169"/>
    </row>
    <row r="145" spans="3:12" x14ac:dyDescent="0.25">
      <c r="C145" s="180"/>
      <c r="D145" s="588" t="s">
        <v>106</v>
      </c>
      <c r="E145" s="588" t="s">
        <v>218</v>
      </c>
      <c r="F145" s="36"/>
      <c r="G145" s="24"/>
      <c r="H145" s="24"/>
      <c r="I145" s="24"/>
      <c r="J145" s="24"/>
      <c r="K145" s="24"/>
      <c r="L145" s="170"/>
    </row>
    <row r="146" spans="3:12" x14ac:dyDescent="0.25">
      <c r="C146" s="180"/>
      <c r="D146" s="556" t="s">
        <v>723</v>
      </c>
      <c r="E146" s="582">
        <f>1.5*1</f>
        <v>1.5</v>
      </c>
      <c r="F146" s="36"/>
      <c r="G146" s="24"/>
      <c r="H146" s="24"/>
      <c r="I146" s="24"/>
      <c r="J146" s="24"/>
      <c r="K146" s="24"/>
      <c r="L146" s="170"/>
    </row>
    <row r="147" spans="3:12" x14ac:dyDescent="0.25">
      <c r="C147" s="180"/>
      <c r="D147" s="557" t="s">
        <v>241</v>
      </c>
      <c r="E147" s="582">
        <f>1.5*1</f>
        <v>1.5</v>
      </c>
      <c r="F147" s="36"/>
      <c r="G147" s="24"/>
      <c r="H147" s="24"/>
      <c r="I147" s="24"/>
      <c r="J147" s="24"/>
      <c r="K147" s="24"/>
      <c r="L147" s="170"/>
    </row>
    <row r="148" spans="3:12" x14ac:dyDescent="0.25">
      <c r="C148" s="180"/>
      <c r="D148" s="557" t="s">
        <v>724</v>
      </c>
      <c r="E148" s="588">
        <f>(2.8*0.6)*2</f>
        <v>3.36</v>
      </c>
      <c r="F148" s="36"/>
      <c r="G148" s="24"/>
      <c r="H148" s="24"/>
      <c r="I148" s="24"/>
      <c r="J148" s="24"/>
      <c r="K148" s="24"/>
      <c r="L148" s="170"/>
    </row>
    <row r="149" spans="3:12" x14ac:dyDescent="0.25">
      <c r="C149" s="180"/>
      <c r="D149" s="557" t="s">
        <v>725</v>
      </c>
      <c r="E149" s="588">
        <f>(4.3*0.6)*2</f>
        <v>5.1599999999999993</v>
      </c>
      <c r="F149" s="36"/>
      <c r="G149" s="24"/>
      <c r="H149" s="24"/>
      <c r="I149" s="24"/>
      <c r="J149" s="24"/>
      <c r="K149" s="24"/>
      <c r="L149" s="170"/>
    </row>
    <row r="150" spans="3:12" x14ac:dyDescent="0.25">
      <c r="C150" s="180"/>
      <c r="D150" s="557" t="s">
        <v>722</v>
      </c>
      <c r="E150" s="588">
        <v>1.48</v>
      </c>
      <c r="F150" s="36"/>
      <c r="G150" s="24"/>
      <c r="H150" s="24"/>
      <c r="I150" s="24"/>
      <c r="J150" s="24"/>
      <c r="K150" s="24"/>
      <c r="L150" s="170"/>
    </row>
    <row r="151" spans="3:12" x14ac:dyDescent="0.25">
      <c r="C151" s="180"/>
      <c r="D151" s="558" t="s">
        <v>217</v>
      </c>
      <c r="E151" s="582">
        <f>SUM(E146:E150)</f>
        <v>13</v>
      </c>
      <c r="F151" s="36"/>
      <c r="G151" s="24"/>
      <c r="H151" s="24"/>
      <c r="I151" s="24"/>
      <c r="J151" s="24"/>
      <c r="K151" s="24"/>
      <c r="L151" s="170"/>
    </row>
    <row r="152" spans="3:12" x14ac:dyDescent="0.25">
      <c r="C152" s="179"/>
      <c r="D152" s="25"/>
      <c r="E152" s="25"/>
      <c r="F152" s="24"/>
      <c r="G152" s="24"/>
      <c r="H152" s="24"/>
      <c r="I152" s="24"/>
      <c r="J152" s="24"/>
      <c r="K152" s="24"/>
      <c r="L152" s="170"/>
    </row>
    <row r="153" spans="3:12" x14ac:dyDescent="0.25">
      <c r="C153" s="299"/>
      <c r="D153" s="47"/>
      <c r="E153" s="47"/>
      <c r="F153" s="47"/>
      <c r="G153" s="47"/>
      <c r="H153" s="47"/>
      <c r="I153" s="47"/>
      <c r="J153" s="47"/>
      <c r="K153" s="47"/>
      <c r="L153" s="171"/>
    </row>
    <row r="154" spans="3:12" x14ac:dyDescent="0.25">
      <c r="C154" s="559" t="s">
        <v>742</v>
      </c>
      <c r="D154" s="1102" t="s">
        <v>743</v>
      </c>
      <c r="E154" s="1102"/>
      <c r="F154" s="1102"/>
      <c r="G154" s="1102"/>
      <c r="H154" s="1102"/>
      <c r="I154" s="1102"/>
      <c r="J154" s="1102"/>
      <c r="K154" s="520" t="s">
        <v>5</v>
      </c>
      <c r="L154" s="560">
        <f>E162</f>
        <v>13</v>
      </c>
    </row>
    <row r="155" spans="3:12" x14ac:dyDescent="0.25">
      <c r="C155" s="178"/>
      <c r="D155" s="129"/>
      <c r="E155" s="129"/>
      <c r="F155" s="129"/>
      <c r="G155" s="129"/>
      <c r="H155" s="129"/>
      <c r="I155" s="129"/>
      <c r="J155" s="129"/>
      <c r="K155" s="129"/>
      <c r="L155" s="262"/>
    </row>
    <row r="156" spans="3:12" x14ac:dyDescent="0.25">
      <c r="C156" s="178"/>
      <c r="D156" s="588" t="s">
        <v>106</v>
      </c>
      <c r="E156" s="588" t="s">
        <v>218</v>
      </c>
      <c r="F156" s="129"/>
      <c r="G156" s="129"/>
      <c r="H156" s="129"/>
      <c r="I156" s="129"/>
      <c r="J156" s="129"/>
      <c r="K156" s="129"/>
      <c r="L156" s="215"/>
    </row>
    <row r="157" spans="3:12" x14ac:dyDescent="0.25">
      <c r="C157" s="178"/>
      <c r="D157" s="556" t="s">
        <v>723</v>
      </c>
      <c r="E157" s="582">
        <f>1.5*1</f>
        <v>1.5</v>
      </c>
      <c r="F157" s="129"/>
      <c r="G157" s="129"/>
      <c r="H157" s="129"/>
      <c r="I157" s="129"/>
      <c r="J157" s="129"/>
      <c r="K157" s="129"/>
      <c r="L157" s="215"/>
    </row>
    <row r="158" spans="3:12" x14ac:dyDescent="0.25">
      <c r="C158" s="178"/>
      <c r="D158" s="557" t="s">
        <v>241</v>
      </c>
      <c r="E158" s="582">
        <f>1.5*1</f>
        <v>1.5</v>
      </c>
      <c r="F158" s="129"/>
      <c r="G158" s="129"/>
      <c r="H158" s="129"/>
      <c r="I158" s="129"/>
      <c r="J158" s="129"/>
      <c r="K158" s="129"/>
      <c r="L158" s="215"/>
    </row>
    <row r="159" spans="3:12" x14ac:dyDescent="0.25">
      <c r="C159" s="178"/>
      <c r="D159" s="557" t="s">
        <v>724</v>
      </c>
      <c r="E159" s="588">
        <f>(2.8*0.6)*2</f>
        <v>3.36</v>
      </c>
      <c r="F159" s="129"/>
      <c r="G159" s="129"/>
      <c r="H159" s="129"/>
      <c r="I159" s="129"/>
      <c r="J159" s="129"/>
      <c r="K159" s="129"/>
      <c r="L159" s="215"/>
    </row>
    <row r="160" spans="3:12" x14ac:dyDescent="0.25">
      <c r="C160" s="178"/>
      <c r="D160" s="557" t="s">
        <v>725</v>
      </c>
      <c r="E160" s="588">
        <f>(4.3*0.6)*2</f>
        <v>5.1599999999999993</v>
      </c>
      <c r="F160" s="129"/>
      <c r="G160" s="129"/>
      <c r="H160" s="129"/>
      <c r="I160" s="129"/>
      <c r="J160" s="129"/>
      <c r="K160" s="129"/>
      <c r="L160" s="215"/>
    </row>
    <row r="161" spans="3:12" x14ac:dyDescent="0.25">
      <c r="C161" s="178"/>
      <c r="D161" s="557" t="s">
        <v>722</v>
      </c>
      <c r="E161" s="588">
        <v>1.48</v>
      </c>
      <c r="F161" s="129"/>
      <c r="G161" s="129"/>
      <c r="H161" s="129"/>
      <c r="I161" s="129"/>
      <c r="J161" s="129"/>
      <c r="K161" s="129"/>
      <c r="L161" s="215"/>
    </row>
    <row r="162" spans="3:12" x14ac:dyDescent="0.25">
      <c r="C162" s="178"/>
      <c r="D162" s="558" t="s">
        <v>217</v>
      </c>
      <c r="E162" s="582">
        <f>SUM(E157:E161)</f>
        <v>13</v>
      </c>
      <c r="F162" s="129"/>
      <c r="G162" s="129"/>
      <c r="H162" s="129"/>
      <c r="I162" s="129"/>
      <c r="J162" s="129"/>
      <c r="K162" s="129"/>
      <c r="L162" s="215"/>
    </row>
    <row r="163" spans="3:12" x14ac:dyDescent="0.25">
      <c r="C163" s="178"/>
      <c r="D163" s="129"/>
      <c r="E163" s="129"/>
      <c r="F163" s="129"/>
      <c r="G163" s="129"/>
      <c r="H163" s="129"/>
      <c r="I163" s="129"/>
      <c r="J163" s="129"/>
      <c r="K163" s="129"/>
      <c r="L163" s="215"/>
    </row>
    <row r="164" spans="3:12" ht="15.75" thickBot="1" x14ac:dyDescent="0.3">
      <c r="C164" s="648"/>
      <c r="D164" s="649"/>
      <c r="E164" s="649"/>
      <c r="F164" s="649"/>
      <c r="G164" s="649"/>
      <c r="H164" s="649"/>
      <c r="I164" s="649"/>
      <c r="J164" s="649"/>
      <c r="K164" s="649"/>
      <c r="L164" s="650"/>
    </row>
    <row r="165" spans="3:12" x14ac:dyDescent="0.25">
      <c r="E165" s="138"/>
      <c r="F165" s="138"/>
      <c r="G165" s="138"/>
      <c r="H165" s="138"/>
      <c r="I165" s="138"/>
      <c r="J165" s="138"/>
      <c r="K165" s="138"/>
      <c r="L165" s="138"/>
    </row>
  </sheetData>
  <mergeCells count="42">
    <mergeCell ref="D69:F69"/>
    <mergeCell ref="D74:F74"/>
    <mergeCell ref="D76:J76"/>
    <mergeCell ref="D47:J47"/>
    <mergeCell ref="D53:J53"/>
    <mergeCell ref="D60:J60"/>
    <mergeCell ref="D35:J35"/>
    <mergeCell ref="D39:J39"/>
    <mergeCell ref="D43:J43"/>
    <mergeCell ref="D23:J23"/>
    <mergeCell ref="D65:F65"/>
    <mergeCell ref="D89:J89"/>
    <mergeCell ref="D2:I2"/>
    <mergeCell ref="C3:L3"/>
    <mergeCell ref="D134:J134"/>
    <mergeCell ref="D136:J136"/>
    <mergeCell ref="D84:J84"/>
    <mergeCell ref="D94:J94"/>
    <mergeCell ref="D96:J96"/>
    <mergeCell ref="D98:J98"/>
    <mergeCell ref="D100:J100"/>
    <mergeCell ref="D102:J102"/>
    <mergeCell ref="D104:J104"/>
    <mergeCell ref="D106:J106"/>
    <mergeCell ref="D108:J108"/>
    <mergeCell ref="D4:J4"/>
    <mergeCell ref="D28:J28"/>
    <mergeCell ref="D154:J154"/>
    <mergeCell ref="D143:J143"/>
    <mergeCell ref="D138:J138"/>
    <mergeCell ref="D110:J110"/>
    <mergeCell ref="D112:J112"/>
    <mergeCell ref="D114:J114"/>
    <mergeCell ref="D116:J116"/>
    <mergeCell ref="D118:J118"/>
    <mergeCell ref="D120:J120"/>
    <mergeCell ref="D122:J122"/>
    <mergeCell ref="D124:J124"/>
    <mergeCell ref="D126:J126"/>
    <mergeCell ref="D128:J128"/>
    <mergeCell ref="D130:J130"/>
    <mergeCell ref="D132:J132"/>
  </mergeCells>
  <phoneticPr fontId="7" type="noConversion"/>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25"/>
  <sheetViews>
    <sheetView topLeftCell="A142" zoomScale="77" zoomScaleNormal="77" workbookViewId="0">
      <selection activeCell="I185" sqref="I185"/>
    </sheetView>
  </sheetViews>
  <sheetFormatPr defaultRowHeight="15" x14ac:dyDescent="0.25"/>
  <cols>
    <col min="3" max="3" width="15.7109375" style="24" customWidth="1"/>
    <col min="4" max="4" width="31.140625" style="24" bestFit="1" customWidth="1"/>
    <col min="5" max="5" width="20.5703125" style="24" customWidth="1"/>
    <col min="6" max="6" width="20.7109375" style="24" customWidth="1"/>
    <col min="7" max="7" width="19.140625" style="24" customWidth="1"/>
    <col min="8" max="8" width="15.42578125" style="24" customWidth="1"/>
    <col min="9" max="9" width="14.28515625" style="24" bestFit="1" customWidth="1"/>
    <col min="10" max="10" width="14.140625" style="24" customWidth="1"/>
    <col min="11" max="11" width="16.85546875" style="24" customWidth="1"/>
    <col min="12" max="12" width="13.5703125" style="24" customWidth="1"/>
    <col min="13" max="13" width="15.42578125" bestFit="1" customWidth="1"/>
  </cols>
  <sheetData>
    <row r="1" spans="3:12" ht="15.75" thickBot="1" x14ac:dyDescent="0.3">
      <c r="C1" s="47"/>
      <c r="D1" s="47"/>
      <c r="E1" s="47"/>
      <c r="F1" s="47"/>
      <c r="G1" s="47"/>
      <c r="H1" s="47"/>
      <c r="I1" s="47"/>
      <c r="J1" s="47"/>
      <c r="K1" s="47"/>
      <c r="L1" s="47"/>
    </row>
    <row r="2" spans="3:12" ht="16.5" thickBot="1" x14ac:dyDescent="0.3">
      <c r="C2" s="196" t="s">
        <v>1</v>
      </c>
      <c r="D2" s="1147" t="s">
        <v>2</v>
      </c>
      <c r="E2" s="1148"/>
      <c r="F2" s="1148"/>
      <c r="G2" s="1148"/>
      <c r="H2" s="1148"/>
      <c r="I2" s="1149"/>
      <c r="J2" s="572"/>
      <c r="K2" s="185" t="s">
        <v>3</v>
      </c>
      <c r="L2" s="197" t="s">
        <v>4</v>
      </c>
    </row>
    <row r="3" spans="3:12" ht="16.5" thickBot="1" x14ac:dyDescent="0.3">
      <c r="C3" s="1150" t="s">
        <v>66</v>
      </c>
      <c r="D3" s="1151"/>
      <c r="E3" s="1151"/>
      <c r="F3" s="1151"/>
      <c r="G3" s="1151"/>
      <c r="H3" s="1151"/>
      <c r="I3" s="1151"/>
      <c r="J3" s="1151"/>
      <c r="K3" s="1151"/>
      <c r="L3" s="1152"/>
    </row>
    <row r="4" spans="3:12" x14ac:dyDescent="0.25">
      <c r="C4" s="159" t="s">
        <v>254</v>
      </c>
      <c r="D4" s="1146" t="s">
        <v>253</v>
      </c>
      <c r="E4" s="1146"/>
      <c r="F4" s="1146"/>
      <c r="G4" s="1146"/>
      <c r="H4" s="1146"/>
      <c r="I4" s="1146"/>
      <c r="J4" s="1146"/>
      <c r="K4" s="40" t="s">
        <v>7</v>
      </c>
      <c r="L4" s="168">
        <f>E7</f>
        <v>1</v>
      </c>
    </row>
    <row r="5" spans="3:12" x14ac:dyDescent="0.25">
      <c r="C5" s="179"/>
      <c r="D5" s="47"/>
      <c r="E5" s="47"/>
      <c r="L5" s="167"/>
    </row>
    <row r="6" spans="3:12" x14ac:dyDescent="0.25">
      <c r="C6" s="180"/>
      <c r="D6" s="578" t="s">
        <v>106</v>
      </c>
      <c r="E6" s="578" t="s">
        <v>155</v>
      </c>
      <c r="F6" s="36"/>
      <c r="L6" s="167"/>
    </row>
    <row r="7" spans="3:12" x14ac:dyDescent="0.25">
      <c r="C7" s="180"/>
      <c r="D7" s="578" t="s">
        <v>103</v>
      </c>
      <c r="E7" s="68">
        <v>1</v>
      </c>
      <c r="F7" s="36"/>
      <c r="L7" s="167"/>
    </row>
    <row r="8" spans="3:12" x14ac:dyDescent="0.25">
      <c r="C8" s="179"/>
      <c r="D8" s="25"/>
      <c r="E8" s="25"/>
      <c r="L8" s="167"/>
    </row>
    <row r="9" spans="3:12" x14ac:dyDescent="0.25">
      <c r="C9" s="159" t="s">
        <v>73</v>
      </c>
      <c r="D9" s="1146" t="s">
        <v>74</v>
      </c>
      <c r="E9" s="1146"/>
      <c r="F9" s="1146"/>
      <c r="G9" s="1146"/>
      <c r="H9" s="1146"/>
      <c r="I9" s="1146"/>
      <c r="J9" s="1146"/>
      <c r="K9" s="40" t="s">
        <v>5</v>
      </c>
      <c r="L9" s="168">
        <f>E27</f>
        <v>185.76000000000002</v>
      </c>
    </row>
    <row r="10" spans="3:12" x14ac:dyDescent="0.25">
      <c r="C10" s="179"/>
      <c r="D10" s="47"/>
      <c r="E10" s="47"/>
      <c r="L10" s="167"/>
    </row>
    <row r="11" spans="3:12" x14ac:dyDescent="0.25">
      <c r="C11" s="180"/>
      <c r="D11" s="585" t="s">
        <v>106</v>
      </c>
      <c r="E11" s="585" t="s">
        <v>218</v>
      </c>
      <c r="F11" s="36"/>
      <c r="L11" s="167"/>
    </row>
    <row r="12" spans="3:12" x14ac:dyDescent="0.25">
      <c r="C12" s="180"/>
      <c r="D12" s="101" t="s">
        <v>110</v>
      </c>
      <c r="E12" s="577">
        <v>92.1</v>
      </c>
      <c r="F12" s="36"/>
      <c r="L12" s="167"/>
    </row>
    <row r="13" spans="3:12" x14ac:dyDescent="0.25">
      <c r="C13" s="180"/>
      <c r="D13" s="102" t="s">
        <v>103</v>
      </c>
      <c r="E13" s="577">
        <v>5.82</v>
      </c>
      <c r="F13" s="36"/>
      <c r="L13" s="167"/>
    </row>
    <row r="14" spans="3:12" x14ac:dyDescent="0.25">
      <c r="C14" s="180"/>
      <c r="D14" s="102" t="s">
        <v>111</v>
      </c>
      <c r="E14" s="577">
        <v>7.81</v>
      </c>
      <c r="F14" s="36"/>
      <c r="L14" s="167"/>
    </row>
    <row r="15" spans="3:12" x14ac:dyDescent="0.25">
      <c r="C15" s="180"/>
      <c r="D15" s="102" t="s">
        <v>112</v>
      </c>
      <c r="E15" s="577">
        <v>7.81</v>
      </c>
      <c r="F15" s="36"/>
      <c r="L15" s="167"/>
    </row>
    <row r="16" spans="3:12" x14ac:dyDescent="0.25">
      <c r="C16" s="180"/>
      <c r="D16" s="102" t="s">
        <v>97</v>
      </c>
      <c r="E16" s="577">
        <v>3.18</v>
      </c>
      <c r="F16" s="36"/>
      <c r="L16" s="167"/>
    </row>
    <row r="17" spans="3:12" x14ac:dyDescent="0.25">
      <c r="C17" s="180"/>
      <c r="D17" s="102" t="s">
        <v>113</v>
      </c>
      <c r="E17" s="577">
        <v>10.06</v>
      </c>
      <c r="F17" s="36"/>
      <c r="L17" s="167"/>
    </row>
    <row r="18" spans="3:12" x14ac:dyDescent="0.25">
      <c r="C18" s="180"/>
      <c r="D18" s="102" t="s">
        <v>108</v>
      </c>
      <c r="E18" s="577">
        <v>4.55</v>
      </c>
      <c r="F18" s="36"/>
      <c r="L18" s="167"/>
    </row>
    <row r="19" spans="3:12" x14ac:dyDescent="0.25">
      <c r="C19" s="180"/>
      <c r="D19" s="102" t="s">
        <v>114</v>
      </c>
      <c r="E19" s="577">
        <v>7.81</v>
      </c>
      <c r="F19" s="36"/>
      <c r="L19" s="167"/>
    </row>
    <row r="20" spans="3:12" x14ac:dyDescent="0.25">
      <c r="C20" s="180"/>
      <c r="D20" s="102" t="s">
        <v>115</v>
      </c>
      <c r="E20" s="577">
        <v>7.81</v>
      </c>
      <c r="F20" s="36"/>
      <c r="L20" s="167"/>
    </row>
    <row r="21" spans="3:12" x14ac:dyDescent="0.25">
      <c r="C21" s="180"/>
      <c r="D21" s="102" t="s">
        <v>116</v>
      </c>
      <c r="E21" s="577">
        <v>7.81</v>
      </c>
      <c r="F21" s="36"/>
      <c r="L21" s="167"/>
    </row>
    <row r="22" spans="3:12" x14ac:dyDescent="0.25">
      <c r="C22" s="180"/>
      <c r="D22" s="102" t="s">
        <v>117</v>
      </c>
      <c r="E22" s="577">
        <v>7.81</v>
      </c>
      <c r="F22" s="36"/>
      <c r="L22" s="167"/>
    </row>
    <row r="23" spans="3:12" x14ac:dyDescent="0.25">
      <c r="C23" s="180"/>
      <c r="D23" s="102" t="s">
        <v>118</v>
      </c>
      <c r="E23" s="577">
        <v>5</v>
      </c>
      <c r="F23" s="36"/>
      <c r="L23" s="167"/>
    </row>
    <row r="24" spans="3:12" x14ac:dyDescent="0.25">
      <c r="C24" s="180"/>
      <c r="D24" s="102" t="s">
        <v>101</v>
      </c>
      <c r="E24" s="577">
        <v>2.44</v>
      </c>
      <c r="F24" s="36"/>
      <c r="L24" s="167"/>
    </row>
    <row r="25" spans="3:12" x14ac:dyDescent="0.25">
      <c r="C25" s="180"/>
      <c r="D25" s="102" t="s">
        <v>119</v>
      </c>
      <c r="E25" s="577">
        <v>9.92</v>
      </c>
      <c r="F25" s="36"/>
      <c r="L25" s="167"/>
    </row>
    <row r="26" spans="3:12" x14ac:dyDescent="0.25">
      <c r="C26" s="180"/>
      <c r="D26" s="70" t="s">
        <v>120</v>
      </c>
      <c r="E26" s="577">
        <v>5.83</v>
      </c>
      <c r="F26" s="36"/>
      <c r="L26" s="167"/>
    </row>
    <row r="27" spans="3:12" x14ac:dyDescent="0.25">
      <c r="C27" s="180"/>
      <c r="D27" s="585" t="s">
        <v>217</v>
      </c>
      <c r="E27" s="577">
        <f>SUM(E12:E26)</f>
        <v>185.76000000000002</v>
      </c>
      <c r="F27" s="36"/>
      <c r="L27" s="167"/>
    </row>
    <row r="28" spans="3:12" x14ac:dyDescent="0.25">
      <c r="C28" s="179"/>
      <c r="D28" s="25"/>
      <c r="E28" s="25"/>
      <c r="L28" s="167"/>
    </row>
    <row r="29" spans="3:12" x14ac:dyDescent="0.25">
      <c r="C29" s="159" t="s">
        <v>20</v>
      </c>
      <c r="D29" s="1146" t="s">
        <v>21</v>
      </c>
      <c r="E29" s="1146"/>
      <c r="F29" s="1146"/>
      <c r="G29" s="1146"/>
      <c r="H29" s="1146"/>
      <c r="I29" s="1146"/>
      <c r="J29" s="1146"/>
      <c r="K29" s="40" t="s">
        <v>8</v>
      </c>
      <c r="L29" s="168">
        <f>E36</f>
        <v>4.32</v>
      </c>
    </row>
    <row r="30" spans="3:12" x14ac:dyDescent="0.25">
      <c r="C30" s="179"/>
      <c r="D30" s="47"/>
      <c r="E30" s="47"/>
      <c r="F30" s="47"/>
      <c r="L30" s="167"/>
    </row>
    <row r="31" spans="3:12" ht="15.75" x14ac:dyDescent="0.25">
      <c r="C31" s="180"/>
      <c r="D31" s="585" t="s">
        <v>106</v>
      </c>
      <c r="E31" s="95"/>
      <c r="F31" s="95" t="s">
        <v>155</v>
      </c>
      <c r="G31" s="36"/>
      <c r="L31" s="167"/>
    </row>
    <row r="32" spans="3:12" x14ac:dyDescent="0.25">
      <c r="C32" s="180"/>
      <c r="D32" s="583" t="s">
        <v>103</v>
      </c>
      <c r="E32" s="1153" t="s">
        <v>255</v>
      </c>
      <c r="F32" s="1154">
        <v>2.4</v>
      </c>
      <c r="G32" s="36"/>
      <c r="L32" s="167"/>
    </row>
    <row r="33" spans="3:12" x14ac:dyDescent="0.25">
      <c r="C33" s="180"/>
      <c r="D33" s="583" t="s">
        <v>256</v>
      </c>
      <c r="E33" s="1153"/>
      <c r="F33" s="1154"/>
      <c r="G33" s="36"/>
      <c r="L33" s="167"/>
    </row>
    <row r="34" spans="3:12" x14ac:dyDescent="0.25">
      <c r="C34" s="180"/>
      <c r="D34" s="583" t="s">
        <v>257</v>
      </c>
      <c r="E34" s="1153"/>
      <c r="F34" s="1154">
        <v>1.92</v>
      </c>
      <c r="G34" s="36"/>
      <c r="L34" s="167"/>
    </row>
    <row r="35" spans="3:12" x14ac:dyDescent="0.25">
      <c r="C35" s="180"/>
      <c r="D35" s="583" t="s">
        <v>113</v>
      </c>
      <c r="E35" s="1153"/>
      <c r="F35" s="1154"/>
      <c r="G35" s="36"/>
      <c r="L35" s="167"/>
    </row>
    <row r="36" spans="3:12" ht="15.75" x14ac:dyDescent="0.25">
      <c r="C36" s="180"/>
      <c r="D36" s="585" t="s">
        <v>217</v>
      </c>
      <c r="E36" s="1104">
        <f>F32+F34</f>
        <v>4.32</v>
      </c>
      <c r="F36" s="1104"/>
      <c r="G36" s="36"/>
      <c r="L36" s="167"/>
    </row>
    <row r="37" spans="3:12" x14ac:dyDescent="0.25">
      <c r="C37" s="179"/>
      <c r="D37" s="25"/>
      <c r="E37" s="25"/>
      <c r="F37" s="25"/>
      <c r="L37" s="167"/>
    </row>
    <row r="38" spans="3:12" x14ac:dyDescent="0.25">
      <c r="C38" s="159" t="s">
        <v>375</v>
      </c>
      <c r="D38" s="1146" t="s">
        <v>562</v>
      </c>
      <c r="E38" s="1146"/>
      <c r="F38" s="1146"/>
      <c r="G38" s="1146"/>
      <c r="H38" s="1146"/>
      <c r="I38" s="1146"/>
      <c r="J38" s="1146"/>
      <c r="K38" s="40" t="s">
        <v>7</v>
      </c>
      <c r="L38" s="173">
        <v>1</v>
      </c>
    </row>
    <row r="39" spans="3:12" x14ac:dyDescent="0.25">
      <c r="C39" s="179"/>
      <c r="L39" s="268"/>
    </row>
    <row r="40" spans="3:12" x14ac:dyDescent="0.25">
      <c r="C40" s="159" t="s">
        <v>564</v>
      </c>
      <c r="D40" s="1146" t="s">
        <v>565</v>
      </c>
      <c r="E40" s="1146"/>
      <c r="F40" s="1146"/>
      <c r="G40" s="1146"/>
      <c r="H40" s="1146"/>
      <c r="I40" s="1146"/>
      <c r="J40" s="1146"/>
      <c r="K40" s="40" t="s">
        <v>7</v>
      </c>
      <c r="L40" s="173">
        <v>1</v>
      </c>
    </row>
    <row r="41" spans="3:12" x14ac:dyDescent="0.25">
      <c r="C41" s="179"/>
      <c r="L41" s="268"/>
    </row>
    <row r="42" spans="3:12" x14ac:dyDescent="0.25">
      <c r="C42" s="159" t="s">
        <v>497</v>
      </c>
      <c r="D42" s="1146" t="s">
        <v>566</v>
      </c>
      <c r="E42" s="1146"/>
      <c r="F42" s="1146"/>
      <c r="G42" s="1146"/>
      <c r="H42" s="1146"/>
      <c r="I42" s="1146"/>
      <c r="J42" s="1146"/>
      <c r="K42" s="40" t="s">
        <v>7</v>
      </c>
      <c r="L42" s="174">
        <v>1</v>
      </c>
    </row>
    <row r="43" spans="3:12" x14ac:dyDescent="0.25">
      <c r="C43" s="179"/>
      <c r="L43" s="268"/>
    </row>
    <row r="44" spans="3:12" x14ac:dyDescent="0.25">
      <c r="C44" s="159" t="s">
        <v>497</v>
      </c>
      <c r="D44" s="1146" t="s">
        <v>567</v>
      </c>
      <c r="E44" s="1146"/>
      <c r="F44" s="1146"/>
      <c r="G44" s="1146"/>
      <c r="H44" s="1146"/>
      <c r="I44" s="1146"/>
      <c r="J44" s="1146"/>
      <c r="K44" s="40" t="s">
        <v>7</v>
      </c>
      <c r="L44" s="174">
        <v>2</v>
      </c>
    </row>
    <row r="45" spans="3:12" x14ac:dyDescent="0.25">
      <c r="C45" s="179"/>
      <c r="L45" s="268"/>
    </row>
    <row r="46" spans="3:12" x14ac:dyDescent="0.25">
      <c r="C46" s="159" t="s">
        <v>150</v>
      </c>
      <c r="D46" s="1146" t="s">
        <v>568</v>
      </c>
      <c r="E46" s="1146"/>
      <c r="F46" s="1146"/>
      <c r="G46" s="1146"/>
      <c r="H46" s="1146"/>
      <c r="I46" s="1146"/>
      <c r="J46" s="1146"/>
      <c r="K46" s="40" t="s">
        <v>7</v>
      </c>
      <c r="L46" s="174">
        <v>5</v>
      </c>
    </row>
    <row r="47" spans="3:12" x14ac:dyDescent="0.25">
      <c r="C47" s="179"/>
      <c r="L47" s="268"/>
    </row>
    <row r="48" spans="3:12" x14ac:dyDescent="0.25">
      <c r="C48" s="159" t="s">
        <v>151</v>
      </c>
      <c r="D48" s="1146" t="s">
        <v>569</v>
      </c>
      <c r="E48" s="1146"/>
      <c r="F48" s="1146"/>
      <c r="G48" s="1146"/>
      <c r="H48" s="1146"/>
      <c r="I48" s="1146"/>
      <c r="J48" s="1146"/>
      <c r="K48" s="40" t="s">
        <v>7</v>
      </c>
      <c r="L48" s="174">
        <v>1</v>
      </c>
    </row>
    <row r="49" spans="3:12" x14ac:dyDescent="0.25">
      <c r="C49" s="179"/>
      <c r="L49" s="268"/>
    </row>
    <row r="50" spans="3:12" x14ac:dyDescent="0.25">
      <c r="C50" s="159" t="s">
        <v>377</v>
      </c>
      <c r="D50" s="1146" t="s">
        <v>570</v>
      </c>
      <c r="E50" s="1146"/>
      <c r="F50" s="1146"/>
      <c r="G50" s="1146"/>
      <c r="H50" s="1146"/>
      <c r="I50" s="1146"/>
      <c r="J50" s="1146"/>
      <c r="K50" s="40" t="s">
        <v>7</v>
      </c>
      <c r="L50" s="174">
        <v>1</v>
      </c>
    </row>
    <row r="51" spans="3:12" x14ac:dyDescent="0.25">
      <c r="C51" s="179"/>
      <c r="L51" s="268"/>
    </row>
    <row r="52" spans="3:12" x14ac:dyDescent="0.25">
      <c r="C52" s="159" t="s">
        <v>497</v>
      </c>
      <c r="D52" s="1146" t="s">
        <v>571</v>
      </c>
      <c r="E52" s="1146"/>
      <c r="F52" s="1146"/>
      <c r="G52" s="1146"/>
      <c r="H52" s="1146"/>
      <c r="I52" s="1146"/>
      <c r="J52" s="1146"/>
      <c r="K52" s="40" t="s">
        <v>7</v>
      </c>
      <c r="L52" s="174">
        <v>1</v>
      </c>
    </row>
    <row r="53" spans="3:12" x14ac:dyDescent="0.25">
      <c r="C53" s="179"/>
      <c r="L53" s="268"/>
    </row>
    <row r="54" spans="3:12" x14ac:dyDescent="0.25">
      <c r="C54" s="159" t="s">
        <v>493</v>
      </c>
      <c r="D54" s="1146" t="s">
        <v>572</v>
      </c>
      <c r="E54" s="1146"/>
      <c r="F54" s="1146"/>
      <c r="G54" s="1146"/>
      <c r="H54" s="1146"/>
      <c r="I54" s="1146"/>
      <c r="J54" s="1146"/>
      <c r="K54" s="40" t="s">
        <v>7</v>
      </c>
      <c r="L54" s="174">
        <v>1</v>
      </c>
    </row>
    <row r="55" spans="3:12" x14ac:dyDescent="0.25">
      <c r="C55" s="179"/>
      <c r="L55" s="265"/>
    </row>
    <row r="56" spans="3:12" x14ac:dyDescent="0.25">
      <c r="C56" s="159" t="s">
        <v>378</v>
      </c>
      <c r="D56" s="1146" t="s">
        <v>573</v>
      </c>
      <c r="E56" s="1146"/>
      <c r="F56" s="1146"/>
      <c r="G56" s="1146"/>
      <c r="H56" s="1146"/>
      <c r="I56" s="1146"/>
      <c r="J56" s="1146"/>
      <c r="K56" s="40" t="s">
        <v>7</v>
      </c>
      <c r="L56" s="174">
        <v>2</v>
      </c>
    </row>
    <row r="57" spans="3:12" x14ac:dyDescent="0.25">
      <c r="C57" s="179"/>
      <c r="L57" s="268"/>
    </row>
    <row r="58" spans="3:12" x14ac:dyDescent="0.25">
      <c r="C58" s="159" t="s">
        <v>497</v>
      </c>
      <c r="D58" s="1146" t="s">
        <v>574</v>
      </c>
      <c r="E58" s="1146"/>
      <c r="F58" s="1146"/>
      <c r="G58" s="1146"/>
      <c r="H58" s="1146"/>
      <c r="I58" s="1146"/>
      <c r="J58" s="1146"/>
      <c r="K58" s="40" t="s">
        <v>7</v>
      </c>
      <c r="L58" s="269">
        <v>1</v>
      </c>
    </row>
    <row r="59" spans="3:12" x14ac:dyDescent="0.25">
      <c r="C59" s="179"/>
      <c r="L59" s="268"/>
    </row>
    <row r="60" spans="3:12" x14ac:dyDescent="0.25">
      <c r="C60" s="159" t="s">
        <v>152</v>
      </c>
      <c r="D60" s="1146" t="s">
        <v>575</v>
      </c>
      <c r="E60" s="1146"/>
      <c r="F60" s="1146"/>
      <c r="G60" s="1146"/>
      <c r="H60" s="1146"/>
      <c r="I60" s="1146"/>
      <c r="J60" s="1146"/>
      <c r="K60" s="40" t="s">
        <v>7</v>
      </c>
      <c r="L60" s="173">
        <v>1</v>
      </c>
    </row>
    <row r="61" spans="3:12" x14ac:dyDescent="0.25">
      <c r="C61" s="179"/>
      <c r="L61" s="268"/>
    </row>
    <row r="62" spans="3:12" x14ac:dyDescent="0.25">
      <c r="C62" s="159" t="s">
        <v>539</v>
      </c>
      <c r="D62" s="1146" t="s">
        <v>576</v>
      </c>
      <c r="E62" s="1146"/>
      <c r="F62" s="1146"/>
      <c r="G62" s="1146"/>
      <c r="H62" s="1146"/>
      <c r="I62" s="1146"/>
      <c r="J62" s="1146"/>
      <c r="K62" s="40" t="s">
        <v>7</v>
      </c>
      <c r="L62" s="173">
        <v>1</v>
      </c>
    </row>
    <row r="63" spans="3:12" x14ac:dyDescent="0.25">
      <c r="C63" s="179"/>
      <c r="L63" s="268"/>
    </row>
    <row r="64" spans="3:12" x14ac:dyDescent="0.25">
      <c r="C64" s="159" t="s">
        <v>500</v>
      </c>
      <c r="D64" s="1146" t="s">
        <v>577</v>
      </c>
      <c r="E64" s="1146"/>
      <c r="F64" s="1146"/>
      <c r="G64" s="1146"/>
      <c r="H64" s="1146"/>
      <c r="I64" s="1146"/>
      <c r="J64" s="1146"/>
      <c r="K64" s="40" t="s">
        <v>7</v>
      </c>
      <c r="L64" s="173">
        <v>1</v>
      </c>
    </row>
    <row r="65" spans="3:12" x14ac:dyDescent="0.25">
      <c r="C65" s="179"/>
      <c r="L65" s="268"/>
    </row>
    <row r="66" spans="3:12" x14ac:dyDescent="0.25">
      <c r="C66" s="159" t="s">
        <v>225</v>
      </c>
      <c r="D66" s="1146" t="s">
        <v>226</v>
      </c>
      <c r="E66" s="1146"/>
      <c r="F66" s="1146"/>
      <c r="G66" s="1146"/>
      <c r="H66" s="1146"/>
      <c r="I66" s="1146"/>
      <c r="J66" s="1146"/>
      <c r="K66" s="40" t="s">
        <v>7</v>
      </c>
      <c r="L66" s="195">
        <v>3</v>
      </c>
    </row>
    <row r="67" spans="3:12" x14ac:dyDescent="0.25">
      <c r="C67" s="179"/>
      <c r="L67" s="167"/>
    </row>
    <row r="68" spans="3:12" x14ac:dyDescent="0.25">
      <c r="C68" s="159" t="s">
        <v>479</v>
      </c>
      <c r="D68" s="1146" t="s">
        <v>480</v>
      </c>
      <c r="E68" s="1146"/>
      <c r="F68" s="1146"/>
      <c r="G68" s="1146"/>
      <c r="H68" s="1146"/>
      <c r="I68" s="1146"/>
      <c r="J68" s="1146"/>
      <c r="K68" s="40" t="s">
        <v>42</v>
      </c>
      <c r="L68" s="168">
        <f>F71</f>
        <v>12</v>
      </c>
    </row>
    <row r="69" spans="3:12" x14ac:dyDescent="0.25">
      <c r="C69" s="179"/>
      <c r="D69" s="47"/>
      <c r="E69" s="47"/>
      <c r="F69" s="47"/>
      <c r="L69" s="167"/>
    </row>
    <row r="70" spans="3:12" x14ac:dyDescent="0.25">
      <c r="C70" s="180"/>
      <c r="D70" s="579" t="s">
        <v>604</v>
      </c>
      <c r="E70" s="579" t="s">
        <v>42</v>
      </c>
      <c r="F70" s="578" t="s">
        <v>77</v>
      </c>
      <c r="G70" s="36"/>
      <c r="L70" s="167"/>
    </row>
    <row r="71" spans="3:12" x14ac:dyDescent="0.25">
      <c r="C71" s="180"/>
      <c r="D71" s="108">
        <v>1</v>
      </c>
      <c r="E71" s="108">
        <v>12</v>
      </c>
      <c r="F71" s="68">
        <f>D71*E71</f>
        <v>12</v>
      </c>
      <c r="G71" s="36"/>
      <c r="L71" s="167"/>
    </row>
    <row r="72" spans="3:12" x14ac:dyDescent="0.25">
      <c r="C72" s="179"/>
      <c r="D72" s="25"/>
      <c r="E72" s="25"/>
      <c r="F72" s="25"/>
      <c r="L72" s="167"/>
    </row>
    <row r="73" spans="3:12" x14ac:dyDescent="0.25">
      <c r="C73" s="159" t="s">
        <v>301</v>
      </c>
      <c r="D73" s="1146" t="s">
        <v>302</v>
      </c>
      <c r="E73" s="1146"/>
      <c r="F73" s="1146"/>
      <c r="G73" s="1146"/>
      <c r="H73" s="1146"/>
      <c r="I73" s="1146"/>
      <c r="J73" s="1146"/>
      <c r="K73" s="40" t="s">
        <v>7</v>
      </c>
      <c r="L73" s="168">
        <f>E77</f>
        <v>7</v>
      </c>
    </row>
    <row r="74" spans="3:12" x14ac:dyDescent="0.25">
      <c r="C74" s="179"/>
      <c r="D74" s="47"/>
      <c r="E74" s="47"/>
      <c r="L74" s="167"/>
    </row>
    <row r="75" spans="3:12" x14ac:dyDescent="0.25">
      <c r="C75" s="180"/>
      <c r="D75" s="579" t="s">
        <v>305</v>
      </c>
      <c r="E75" s="108">
        <v>6</v>
      </c>
      <c r="F75" s="36"/>
      <c r="L75" s="167"/>
    </row>
    <row r="76" spans="3:12" x14ac:dyDescent="0.25">
      <c r="C76" s="180"/>
      <c r="D76" s="579" t="s">
        <v>306</v>
      </c>
      <c r="E76" s="108">
        <v>1</v>
      </c>
      <c r="F76" s="36"/>
      <c r="L76" s="167"/>
    </row>
    <row r="77" spans="3:12" x14ac:dyDescent="0.25">
      <c r="C77" s="180"/>
      <c r="D77" s="579" t="s">
        <v>217</v>
      </c>
      <c r="E77" s="108">
        <f>E75+E76</f>
        <v>7</v>
      </c>
      <c r="F77" s="36"/>
      <c r="L77" s="167"/>
    </row>
    <row r="78" spans="3:12" x14ac:dyDescent="0.25">
      <c r="C78" s="179"/>
      <c r="D78" s="25"/>
      <c r="E78" s="25"/>
      <c r="L78" s="167"/>
    </row>
    <row r="79" spans="3:12" x14ac:dyDescent="0.25">
      <c r="C79" s="159" t="s">
        <v>191</v>
      </c>
      <c r="D79" s="1146" t="s">
        <v>192</v>
      </c>
      <c r="E79" s="1146"/>
      <c r="F79" s="1146"/>
      <c r="G79" s="1146"/>
      <c r="H79" s="1146"/>
      <c r="I79" s="1146"/>
      <c r="J79" s="1146"/>
      <c r="K79" s="40" t="s">
        <v>8</v>
      </c>
      <c r="L79" s="263">
        <f>E81</f>
        <v>50</v>
      </c>
    </row>
    <row r="80" spans="3:12" x14ac:dyDescent="0.25">
      <c r="C80" s="179"/>
      <c r="D80" s="47"/>
      <c r="E80" s="47"/>
      <c r="L80" s="167"/>
    </row>
    <row r="81" spans="3:12" x14ac:dyDescent="0.25">
      <c r="C81" s="180"/>
      <c r="D81" s="73" t="s">
        <v>364</v>
      </c>
      <c r="E81" s="73">
        <f>12+12+8+6+11+1</f>
        <v>50</v>
      </c>
      <c r="F81" s="36"/>
      <c r="L81" s="167"/>
    </row>
    <row r="82" spans="3:12" x14ac:dyDescent="0.25">
      <c r="C82" s="179"/>
      <c r="D82" s="25"/>
      <c r="E82" s="25"/>
      <c r="L82" s="167"/>
    </row>
    <row r="83" spans="3:12" x14ac:dyDescent="0.25">
      <c r="C83" s="159" t="s">
        <v>246</v>
      </c>
      <c r="D83" s="1146" t="s">
        <v>247</v>
      </c>
      <c r="E83" s="1146"/>
      <c r="F83" s="1146"/>
      <c r="G83" s="1146"/>
      <c r="H83" s="1146"/>
      <c r="I83" s="1146"/>
      <c r="J83" s="1146"/>
      <c r="K83" s="40" t="s">
        <v>8</v>
      </c>
      <c r="L83" s="168">
        <f>E85</f>
        <v>138</v>
      </c>
    </row>
    <row r="84" spans="3:12" x14ac:dyDescent="0.25">
      <c r="C84" s="179"/>
      <c r="D84" s="47"/>
      <c r="E84" s="47"/>
      <c r="L84" s="167"/>
    </row>
    <row r="85" spans="3:12" ht="30" x14ac:dyDescent="0.25">
      <c r="C85" s="180"/>
      <c r="D85" s="157" t="s">
        <v>411</v>
      </c>
      <c r="E85" s="69">
        <v>138</v>
      </c>
      <c r="F85" s="36"/>
      <c r="L85" s="167"/>
    </row>
    <row r="86" spans="3:12" x14ac:dyDescent="0.25">
      <c r="C86" s="179"/>
      <c r="D86" s="25"/>
      <c r="E86" s="25"/>
      <c r="L86" s="167"/>
    </row>
    <row r="87" spans="3:12" x14ac:dyDescent="0.25">
      <c r="C87" s="159" t="s">
        <v>298</v>
      </c>
      <c r="D87" s="1146" t="s">
        <v>299</v>
      </c>
      <c r="E87" s="1146"/>
      <c r="F87" s="1146"/>
      <c r="G87" s="1146"/>
      <c r="H87" s="1146"/>
      <c r="I87" s="1146"/>
      <c r="J87" s="1146"/>
      <c r="K87" s="40" t="s">
        <v>8</v>
      </c>
      <c r="L87" s="263">
        <f>E91</f>
        <v>48.04</v>
      </c>
    </row>
    <row r="88" spans="3:12" x14ac:dyDescent="0.25">
      <c r="C88" s="179"/>
      <c r="D88" s="47"/>
      <c r="E88" s="47"/>
      <c r="L88" s="167"/>
    </row>
    <row r="89" spans="3:12" x14ac:dyDescent="0.25">
      <c r="C89" s="180"/>
      <c r="D89" s="105" t="s">
        <v>303</v>
      </c>
      <c r="E89" s="105">
        <f>1.2+1.26+5.25+10.6</f>
        <v>18.309999999999999</v>
      </c>
      <c r="F89" s="36"/>
      <c r="L89" s="167"/>
    </row>
    <row r="90" spans="3:12" x14ac:dyDescent="0.25">
      <c r="C90" s="180"/>
      <c r="D90" s="105" t="s">
        <v>304</v>
      </c>
      <c r="E90" s="105">
        <f>7.33+11.2+11.2</f>
        <v>29.73</v>
      </c>
      <c r="F90" s="36"/>
      <c r="L90" s="167"/>
    </row>
    <row r="91" spans="3:12" x14ac:dyDescent="0.25">
      <c r="C91" s="180"/>
      <c r="D91" s="579" t="s">
        <v>217</v>
      </c>
      <c r="E91" s="105">
        <f>E89+E90</f>
        <v>48.04</v>
      </c>
      <c r="F91" s="36"/>
      <c r="L91" s="167"/>
    </row>
    <row r="92" spans="3:12" x14ac:dyDescent="0.25">
      <c r="C92" s="179"/>
      <c r="D92" s="25"/>
      <c r="E92" s="25"/>
      <c r="L92" s="167"/>
    </row>
    <row r="93" spans="3:12" x14ac:dyDescent="0.25">
      <c r="C93" s="159" t="s">
        <v>365</v>
      </c>
      <c r="D93" s="1146" t="s">
        <v>366</v>
      </c>
      <c r="E93" s="1146"/>
      <c r="F93" s="1146"/>
      <c r="G93" s="1146"/>
      <c r="H93" s="1146"/>
      <c r="I93" s="1146"/>
      <c r="J93" s="1146"/>
      <c r="K93" s="40" t="s">
        <v>7</v>
      </c>
      <c r="L93" s="168">
        <f>E95</f>
        <v>2</v>
      </c>
    </row>
    <row r="94" spans="3:12" x14ac:dyDescent="0.25">
      <c r="C94" s="179"/>
      <c r="D94" s="47"/>
      <c r="E94" s="47"/>
      <c r="L94" s="167"/>
    </row>
    <row r="95" spans="3:12" x14ac:dyDescent="0.25">
      <c r="C95" s="180"/>
      <c r="D95" s="581" t="s">
        <v>369</v>
      </c>
      <c r="E95" s="72">
        <v>2</v>
      </c>
      <c r="F95" s="36"/>
      <c r="L95" s="167"/>
    </row>
    <row r="96" spans="3:12" x14ac:dyDescent="0.25">
      <c r="C96" s="179"/>
      <c r="D96" s="25"/>
      <c r="E96" s="25"/>
      <c r="L96" s="167"/>
    </row>
    <row r="97" spans="3:12" x14ac:dyDescent="0.25">
      <c r="C97" s="159" t="s">
        <v>367</v>
      </c>
      <c r="D97" s="1146" t="s">
        <v>368</v>
      </c>
      <c r="E97" s="1146"/>
      <c r="F97" s="1146"/>
      <c r="G97" s="1146"/>
      <c r="H97" s="1146"/>
      <c r="I97" s="1146"/>
      <c r="J97" s="1146"/>
      <c r="K97" s="40" t="s">
        <v>7</v>
      </c>
      <c r="L97" s="168">
        <f>E101</f>
        <v>15</v>
      </c>
    </row>
    <row r="98" spans="3:12" x14ac:dyDescent="0.25">
      <c r="C98" s="179"/>
      <c r="D98" s="47"/>
      <c r="E98" s="47"/>
      <c r="L98" s="167"/>
    </row>
    <row r="99" spans="3:12" x14ac:dyDescent="0.25">
      <c r="C99" s="180"/>
      <c r="D99" s="581" t="s">
        <v>370</v>
      </c>
      <c r="E99" s="581" t="s">
        <v>373</v>
      </c>
      <c r="F99" s="36"/>
      <c r="L99" s="167"/>
    </row>
    <row r="100" spans="3:12" x14ac:dyDescent="0.25">
      <c r="C100" s="180"/>
      <c r="D100" s="581" t="s">
        <v>371</v>
      </c>
      <c r="E100" s="581" t="s">
        <v>372</v>
      </c>
      <c r="F100" s="36"/>
      <c r="L100" s="167"/>
    </row>
    <row r="101" spans="3:12" x14ac:dyDescent="0.25">
      <c r="C101" s="180"/>
      <c r="D101" s="581" t="s">
        <v>217</v>
      </c>
      <c r="E101" s="68">
        <f>30/2</f>
        <v>15</v>
      </c>
      <c r="F101" s="36"/>
      <c r="L101" s="167"/>
    </row>
    <row r="102" spans="3:12" x14ac:dyDescent="0.25">
      <c r="C102" s="179"/>
      <c r="D102" s="25"/>
      <c r="E102" s="25"/>
      <c r="L102" s="167"/>
    </row>
    <row r="103" spans="3:12" x14ac:dyDescent="0.25">
      <c r="C103" s="159" t="s">
        <v>157</v>
      </c>
      <c r="D103" s="1146" t="s">
        <v>158</v>
      </c>
      <c r="E103" s="1146"/>
      <c r="F103" s="1146"/>
      <c r="G103" s="1146"/>
      <c r="H103" s="1146"/>
      <c r="I103" s="1146"/>
      <c r="J103" s="1146"/>
      <c r="K103" s="40" t="s">
        <v>8</v>
      </c>
      <c r="L103" s="168">
        <f>E105</f>
        <v>58</v>
      </c>
    </row>
    <row r="104" spans="3:12" x14ac:dyDescent="0.25">
      <c r="C104" s="179"/>
      <c r="D104" s="47"/>
      <c r="E104" s="47"/>
      <c r="L104" s="167"/>
    </row>
    <row r="105" spans="3:12" x14ac:dyDescent="0.25">
      <c r="C105" s="180"/>
      <c r="D105" s="105" t="s">
        <v>391</v>
      </c>
      <c r="E105" s="107">
        <v>58</v>
      </c>
      <c r="F105" s="36"/>
      <c r="L105" s="167"/>
    </row>
    <row r="106" spans="3:12" x14ac:dyDescent="0.25">
      <c r="C106" s="179"/>
      <c r="D106" s="25"/>
      <c r="E106" s="25"/>
      <c r="L106" s="167"/>
    </row>
    <row r="107" spans="3:12" x14ac:dyDescent="0.25">
      <c r="C107" s="159" t="s">
        <v>392</v>
      </c>
      <c r="D107" s="1146" t="s">
        <v>393</v>
      </c>
      <c r="E107" s="1146"/>
      <c r="F107" s="1146"/>
      <c r="G107" s="1146"/>
      <c r="H107" s="1146"/>
      <c r="I107" s="1146"/>
      <c r="J107" s="1146"/>
      <c r="K107" s="40" t="s">
        <v>8</v>
      </c>
      <c r="L107" s="263">
        <f>E109</f>
        <v>200</v>
      </c>
    </row>
    <row r="108" spans="3:12" x14ac:dyDescent="0.25">
      <c r="C108" s="179"/>
      <c r="D108" s="47"/>
      <c r="E108" s="47"/>
      <c r="L108" s="167"/>
    </row>
    <row r="109" spans="3:12" x14ac:dyDescent="0.25">
      <c r="C109" s="180"/>
      <c r="D109" s="157" t="s">
        <v>621</v>
      </c>
      <c r="E109" s="157">
        <v>200</v>
      </c>
      <c r="F109" s="36"/>
      <c r="L109" s="167"/>
    </row>
    <row r="110" spans="3:12" x14ac:dyDescent="0.25">
      <c r="C110" s="179"/>
      <c r="D110" s="25"/>
      <c r="E110" s="25"/>
      <c r="L110" s="167"/>
    </row>
    <row r="111" spans="3:12" x14ac:dyDescent="0.25">
      <c r="C111" s="159" t="s">
        <v>188</v>
      </c>
      <c r="D111" s="1146" t="s">
        <v>187</v>
      </c>
      <c r="E111" s="1146"/>
      <c r="F111" s="1146"/>
      <c r="G111" s="1146"/>
      <c r="H111" s="1146"/>
      <c r="I111" s="1146"/>
      <c r="J111" s="1146"/>
      <c r="K111" s="40" t="s">
        <v>7</v>
      </c>
      <c r="L111" s="168">
        <f>E113</f>
        <v>1</v>
      </c>
    </row>
    <row r="112" spans="3:12" x14ac:dyDescent="0.25">
      <c r="C112" s="179"/>
      <c r="D112" s="47"/>
      <c r="E112" s="47"/>
      <c r="L112" s="167"/>
    </row>
    <row r="113" spans="3:12" x14ac:dyDescent="0.25">
      <c r="C113" s="180"/>
      <c r="D113" s="73" t="s">
        <v>223</v>
      </c>
      <c r="E113" s="83">
        <v>1</v>
      </c>
      <c r="F113" s="36"/>
      <c r="L113" s="167"/>
    </row>
    <row r="114" spans="3:12" x14ac:dyDescent="0.25">
      <c r="C114" s="179"/>
      <c r="D114" s="25"/>
      <c r="E114" s="25"/>
      <c r="L114" s="167"/>
    </row>
    <row r="115" spans="3:12" x14ac:dyDescent="0.25">
      <c r="C115" s="159" t="s">
        <v>578</v>
      </c>
      <c r="D115" s="1146" t="s">
        <v>579</v>
      </c>
      <c r="E115" s="1146"/>
      <c r="F115" s="1146"/>
      <c r="G115" s="1146"/>
      <c r="H115" s="1146"/>
      <c r="I115" s="1146"/>
      <c r="J115" s="1146"/>
      <c r="K115" s="40" t="s">
        <v>7</v>
      </c>
      <c r="L115" s="168">
        <f>F125</f>
        <v>7</v>
      </c>
    </row>
    <row r="116" spans="3:12" x14ac:dyDescent="0.25">
      <c r="C116" s="179"/>
      <c r="D116" s="47"/>
      <c r="E116" s="47"/>
      <c r="F116" s="47"/>
      <c r="G116" s="47"/>
      <c r="L116" s="167"/>
    </row>
    <row r="117" spans="3:12" x14ac:dyDescent="0.25">
      <c r="C117" s="180"/>
      <c r="D117" s="585" t="s">
        <v>106</v>
      </c>
      <c r="E117" s="585" t="s">
        <v>237</v>
      </c>
      <c r="F117" s="585" t="s">
        <v>234</v>
      </c>
      <c r="G117" s="585" t="s">
        <v>238</v>
      </c>
      <c r="H117" s="36"/>
      <c r="L117" s="167"/>
    </row>
    <row r="118" spans="3:12" x14ac:dyDescent="0.25">
      <c r="C118" s="180"/>
      <c r="D118" s="102" t="s">
        <v>111</v>
      </c>
      <c r="E118" s="72">
        <v>2</v>
      </c>
      <c r="F118" s="72">
        <v>1</v>
      </c>
      <c r="G118" s="72">
        <v>2</v>
      </c>
      <c r="H118" s="36"/>
      <c r="L118" s="167"/>
    </row>
    <row r="119" spans="3:12" x14ac:dyDescent="0.25">
      <c r="C119" s="180"/>
      <c r="D119" s="102" t="s">
        <v>112</v>
      </c>
      <c r="E119" s="72">
        <v>2</v>
      </c>
      <c r="F119" s="72">
        <v>1</v>
      </c>
      <c r="G119" s="72">
        <v>2</v>
      </c>
      <c r="H119" s="36"/>
      <c r="L119" s="167"/>
    </row>
    <row r="120" spans="3:12" x14ac:dyDescent="0.25">
      <c r="C120" s="180"/>
      <c r="D120" s="102" t="s">
        <v>113</v>
      </c>
      <c r="E120" s="72">
        <v>2</v>
      </c>
      <c r="F120" s="72">
        <v>1</v>
      </c>
      <c r="G120" s="72">
        <v>2</v>
      </c>
      <c r="H120" s="36"/>
      <c r="L120" s="167"/>
    </row>
    <row r="121" spans="3:12" x14ac:dyDescent="0.25">
      <c r="C121" s="180"/>
      <c r="D121" s="102" t="s">
        <v>114</v>
      </c>
      <c r="E121" s="72">
        <v>2</v>
      </c>
      <c r="F121" s="72">
        <v>1</v>
      </c>
      <c r="G121" s="72">
        <v>2</v>
      </c>
      <c r="H121" s="36"/>
      <c r="L121" s="167"/>
    </row>
    <row r="122" spans="3:12" x14ac:dyDescent="0.25">
      <c r="C122" s="180"/>
      <c r="D122" s="102" t="s">
        <v>115</v>
      </c>
      <c r="E122" s="72">
        <v>2</v>
      </c>
      <c r="F122" s="72">
        <v>1</v>
      </c>
      <c r="G122" s="72">
        <v>2</v>
      </c>
      <c r="H122" s="36"/>
      <c r="L122" s="167"/>
    </row>
    <row r="123" spans="3:12" x14ac:dyDescent="0.25">
      <c r="C123" s="180"/>
      <c r="D123" s="102" t="s">
        <v>116</v>
      </c>
      <c r="E123" s="72">
        <v>2</v>
      </c>
      <c r="F123" s="72">
        <v>1</v>
      </c>
      <c r="G123" s="72">
        <v>2</v>
      </c>
      <c r="H123" s="36"/>
      <c r="L123" s="167"/>
    </row>
    <row r="124" spans="3:12" x14ac:dyDescent="0.25">
      <c r="C124" s="180"/>
      <c r="D124" s="102" t="s">
        <v>117</v>
      </c>
      <c r="E124" s="72">
        <v>2</v>
      </c>
      <c r="F124" s="72">
        <v>1</v>
      </c>
      <c r="G124" s="72">
        <v>2</v>
      </c>
      <c r="H124" s="36"/>
      <c r="L124" s="167"/>
    </row>
    <row r="125" spans="3:12" x14ac:dyDescent="0.25">
      <c r="C125" s="180"/>
      <c r="D125" s="585" t="s">
        <v>217</v>
      </c>
      <c r="E125" s="577">
        <f>SUM(E118:E124)</f>
        <v>14</v>
      </c>
      <c r="F125" s="577">
        <f>SUM(F118:F124)</f>
        <v>7</v>
      </c>
      <c r="G125" s="577">
        <f>SUM(G118:G124)</f>
        <v>14</v>
      </c>
      <c r="H125" s="36"/>
      <c r="L125" s="167"/>
    </row>
    <row r="126" spans="3:12" x14ac:dyDescent="0.25">
      <c r="C126" s="179"/>
      <c r="D126" s="25"/>
      <c r="E126" s="25"/>
      <c r="F126" s="25"/>
      <c r="G126" s="25"/>
      <c r="L126" s="167"/>
    </row>
    <row r="127" spans="3:12" x14ac:dyDescent="0.25">
      <c r="C127" s="159" t="s">
        <v>229</v>
      </c>
      <c r="D127" s="1146" t="s">
        <v>230</v>
      </c>
      <c r="E127" s="1146"/>
      <c r="F127" s="1146"/>
      <c r="G127" s="1146"/>
      <c r="H127" s="1146"/>
      <c r="I127" s="1146"/>
      <c r="J127" s="1146"/>
      <c r="K127" s="40" t="s">
        <v>7</v>
      </c>
      <c r="L127" s="168">
        <f>G129</f>
        <v>21</v>
      </c>
    </row>
    <row r="128" spans="3:12" x14ac:dyDescent="0.25">
      <c r="C128" s="179"/>
      <c r="D128" s="47"/>
      <c r="E128" s="47"/>
      <c r="F128" s="47"/>
      <c r="G128" s="47"/>
      <c r="L128" s="167"/>
    </row>
    <row r="129" spans="3:12" x14ac:dyDescent="0.25">
      <c r="C129" s="180"/>
      <c r="D129" s="1106" t="s">
        <v>228</v>
      </c>
      <c r="E129" s="1106"/>
      <c r="F129" s="1106"/>
      <c r="G129" s="72">
        <v>21</v>
      </c>
      <c r="H129" s="36"/>
      <c r="L129" s="167"/>
    </row>
    <row r="130" spans="3:12" x14ac:dyDescent="0.25">
      <c r="C130" s="179"/>
      <c r="D130" s="25"/>
      <c r="E130" s="25"/>
      <c r="F130" s="25"/>
      <c r="G130" s="25"/>
      <c r="L130" s="167"/>
    </row>
    <row r="131" spans="3:12" x14ac:dyDescent="0.25">
      <c r="C131" s="159" t="s">
        <v>252</v>
      </c>
      <c r="D131" s="1146" t="s">
        <v>251</v>
      </c>
      <c r="E131" s="1146"/>
      <c r="F131" s="1146"/>
      <c r="G131" s="1146"/>
      <c r="H131" s="1146"/>
      <c r="I131" s="1146"/>
      <c r="J131" s="1146"/>
      <c r="K131" s="40" t="s">
        <v>8</v>
      </c>
      <c r="L131" s="168">
        <f>E137</f>
        <v>53.1</v>
      </c>
    </row>
    <row r="132" spans="3:12" x14ac:dyDescent="0.25">
      <c r="C132" s="179"/>
      <c r="D132" s="47"/>
      <c r="E132" s="47"/>
      <c r="L132" s="167"/>
    </row>
    <row r="133" spans="3:12" ht="15.75" x14ac:dyDescent="0.25">
      <c r="C133" s="180"/>
      <c r="D133" s="585" t="s">
        <v>67</v>
      </c>
      <c r="E133" s="95" t="s">
        <v>8</v>
      </c>
      <c r="F133" s="36"/>
      <c r="L133" s="167"/>
    </row>
    <row r="134" spans="3:12" ht="15.75" x14ac:dyDescent="0.25">
      <c r="C134" s="180"/>
      <c r="D134" s="101" t="s">
        <v>234</v>
      </c>
      <c r="E134" s="95">
        <f>5.15+8.75</f>
        <v>13.9</v>
      </c>
      <c r="F134" s="36"/>
      <c r="L134" s="167"/>
    </row>
    <row r="135" spans="3:12" ht="15.75" x14ac:dyDescent="0.25">
      <c r="C135" s="180"/>
      <c r="D135" s="102" t="s">
        <v>237</v>
      </c>
      <c r="E135" s="95">
        <f>13.63+9.5</f>
        <v>23.130000000000003</v>
      </c>
      <c r="F135" s="36"/>
      <c r="L135" s="167"/>
    </row>
    <row r="136" spans="3:12" ht="15.75" x14ac:dyDescent="0.25">
      <c r="C136" s="180"/>
      <c r="D136" s="102" t="s">
        <v>236</v>
      </c>
      <c r="E136" s="95">
        <f>7.47+8.6</f>
        <v>16.07</v>
      </c>
      <c r="F136" s="36"/>
      <c r="L136" s="167"/>
    </row>
    <row r="137" spans="3:12" ht="15.75" x14ac:dyDescent="0.25">
      <c r="C137" s="180"/>
      <c r="D137" s="104" t="s">
        <v>217</v>
      </c>
      <c r="E137" s="576">
        <f>SUM(E134:E136)</f>
        <v>53.1</v>
      </c>
      <c r="F137" s="36"/>
      <c r="L137" s="167"/>
    </row>
    <row r="138" spans="3:12" x14ac:dyDescent="0.25">
      <c r="C138" s="179"/>
      <c r="D138" s="25"/>
      <c r="E138" s="25"/>
      <c r="L138" s="167"/>
    </row>
    <row r="139" spans="3:12" x14ac:dyDescent="0.25">
      <c r="C139" s="159" t="s">
        <v>434</v>
      </c>
      <c r="D139" s="1146" t="s">
        <v>435</v>
      </c>
      <c r="E139" s="1146"/>
      <c r="F139" s="1146"/>
      <c r="G139" s="1146"/>
      <c r="H139" s="1146"/>
      <c r="I139" s="1146"/>
      <c r="J139" s="1146"/>
      <c r="K139" s="40" t="s">
        <v>7</v>
      </c>
      <c r="L139" s="168">
        <f>E141</f>
        <v>7</v>
      </c>
    </row>
    <row r="140" spans="3:12" x14ac:dyDescent="0.25">
      <c r="C140" s="179"/>
      <c r="D140" s="47"/>
      <c r="E140" s="47"/>
      <c r="L140" s="167"/>
    </row>
    <row r="141" spans="3:12" x14ac:dyDescent="0.25">
      <c r="C141" s="180"/>
      <c r="D141" s="579" t="s">
        <v>600</v>
      </c>
      <c r="E141" s="108">
        <v>7</v>
      </c>
      <c r="F141" s="36"/>
      <c r="L141" s="167"/>
    </row>
    <row r="142" spans="3:12" x14ac:dyDescent="0.25">
      <c r="C142" s="179"/>
      <c r="D142" s="25"/>
      <c r="E142" s="25"/>
      <c r="L142" s="167"/>
    </row>
    <row r="143" spans="3:12" x14ac:dyDescent="0.25">
      <c r="C143" s="159" t="s">
        <v>436</v>
      </c>
      <c r="D143" s="1146" t="s">
        <v>437</v>
      </c>
      <c r="E143" s="1146"/>
      <c r="F143" s="1146"/>
      <c r="G143" s="1146"/>
      <c r="H143" s="1146"/>
      <c r="I143" s="1146"/>
      <c r="J143" s="1146"/>
      <c r="K143" s="40" t="s">
        <v>7</v>
      </c>
      <c r="L143" s="168">
        <f>E145</f>
        <v>2</v>
      </c>
    </row>
    <row r="144" spans="3:12" x14ac:dyDescent="0.25">
      <c r="C144" s="179"/>
      <c r="D144" s="47"/>
      <c r="E144" s="47"/>
      <c r="L144" s="167"/>
    </row>
    <row r="145" spans="3:12" x14ac:dyDescent="0.25">
      <c r="C145" s="180"/>
      <c r="D145" s="579" t="s">
        <v>600</v>
      </c>
      <c r="E145" s="108">
        <v>2</v>
      </c>
      <c r="F145" s="36"/>
      <c r="L145" s="167"/>
    </row>
    <row r="146" spans="3:12" x14ac:dyDescent="0.25">
      <c r="C146" s="179"/>
      <c r="D146" s="25"/>
      <c r="E146" s="25"/>
      <c r="L146" s="167"/>
    </row>
    <row r="147" spans="3:12" x14ac:dyDescent="0.25">
      <c r="C147" s="179"/>
      <c r="L147" s="167"/>
    </row>
    <row r="148" spans="3:12" x14ac:dyDescent="0.25">
      <c r="C148" s="179"/>
      <c r="L148" s="167"/>
    </row>
    <row r="149" spans="3:12" x14ac:dyDescent="0.25">
      <c r="C149" s="299"/>
      <c r="D149" s="47"/>
      <c r="E149" s="47"/>
      <c r="F149" s="47"/>
      <c r="G149" s="47"/>
      <c r="H149" s="47"/>
      <c r="I149" s="47"/>
      <c r="J149" s="47"/>
      <c r="K149" s="47"/>
      <c r="L149" s="561"/>
    </row>
    <row r="150" spans="3:12" ht="15.75" x14ac:dyDescent="0.25">
      <c r="C150" s="559" t="s">
        <v>716</v>
      </c>
      <c r="D150" s="1145" t="s">
        <v>717</v>
      </c>
      <c r="E150" s="1145"/>
      <c r="F150" s="1145"/>
      <c r="G150" s="1145"/>
      <c r="H150" s="1145"/>
      <c r="I150" s="1145"/>
      <c r="J150" s="1145"/>
      <c r="K150" s="364" t="s">
        <v>8</v>
      </c>
      <c r="L150" s="560">
        <f>E160</f>
        <v>33.6</v>
      </c>
    </row>
    <row r="151" spans="3:12" x14ac:dyDescent="0.25">
      <c r="C151" s="179"/>
      <c r="L151" s="169"/>
    </row>
    <row r="152" spans="3:12" x14ac:dyDescent="0.25">
      <c r="C152" s="179"/>
      <c r="D152" s="47"/>
      <c r="E152" s="47"/>
      <c r="L152" s="170"/>
    </row>
    <row r="153" spans="3:12" ht="15.75" x14ac:dyDescent="0.25">
      <c r="C153" s="180"/>
      <c r="D153" s="588" t="s">
        <v>106</v>
      </c>
      <c r="E153" s="562" t="s">
        <v>8</v>
      </c>
      <c r="F153" s="36"/>
      <c r="L153" s="170"/>
    </row>
    <row r="154" spans="3:12" ht="15.75" x14ac:dyDescent="0.25">
      <c r="C154" s="180"/>
      <c r="D154" s="563" t="s">
        <v>726</v>
      </c>
      <c r="E154" s="564">
        <f>2.75+2.85</f>
        <v>5.6</v>
      </c>
      <c r="F154" s="36"/>
      <c r="L154" s="170"/>
    </row>
    <row r="155" spans="3:12" ht="15.75" x14ac:dyDescent="0.25">
      <c r="C155" s="180"/>
      <c r="D155" s="563" t="s">
        <v>727</v>
      </c>
      <c r="E155" s="564">
        <f t="shared" ref="E155:E159" si="0">2.75+2.85</f>
        <v>5.6</v>
      </c>
      <c r="F155" s="36"/>
      <c r="L155" s="170"/>
    </row>
    <row r="156" spans="3:12" ht="15.75" x14ac:dyDescent="0.25">
      <c r="C156" s="180"/>
      <c r="D156" s="563" t="s">
        <v>728</v>
      </c>
      <c r="E156" s="564">
        <f t="shared" si="0"/>
        <v>5.6</v>
      </c>
      <c r="F156" s="36"/>
      <c r="L156" s="170"/>
    </row>
    <row r="157" spans="3:12" ht="15.75" x14ac:dyDescent="0.25">
      <c r="C157" s="180"/>
      <c r="D157" s="563" t="s">
        <v>729</v>
      </c>
      <c r="E157" s="564">
        <f t="shared" si="0"/>
        <v>5.6</v>
      </c>
      <c r="F157" s="36"/>
      <c r="L157" s="170"/>
    </row>
    <row r="158" spans="3:12" ht="15.75" x14ac:dyDescent="0.25">
      <c r="C158" s="180"/>
      <c r="D158" s="563" t="s">
        <v>730</v>
      </c>
      <c r="E158" s="564">
        <f t="shared" si="0"/>
        <v>5.6</v>
      </c>
      <c r="F158" s="36"/>
      <c r="L158" s="170"/>
    </row>
    <row r="159" spans="3:12" ht="15.75" x14ac:dyDescent="0.25">
      <c r="C159" s="180"/>
      <c r="D159" s="563" t="s">
        <v>731</v>
      </c>
      <c r="E159" s="564">
        <f t="shared" si="0"/>
        <v>5.6</v>
      </c>
      <c r="F159" s="36"/>
      <c r="L159" s="170"/>
    </row>
    <row r="160" spans="3:12" x14ac:dyDescent="0.25">
      <c r="C160" s="180"/>
      <c r="D160" s="529" t="s">
        <v>217</v>
      </c>
      <c r="E160" s="565">
        <f>SUM(E154:E159)</f>
        <v>33.6</v>
      </c>
      <c r="F160" s="36"/>
      <c r="L160" s="170"/>
    </row>
    <row r="161" spans="3:12" x14ac:dyDescent="0.25">
      <c r="C161" s="179"/>
      <c r="D161" s="25"/>
      <c r="E161" s="25"/>
      <c r="L161" s="171"/>
    </row>
    <row r="162" spans="3:12" ht="15.6" customHeight="1" x14ac:dyDescent="0.25">
      <c r="C162" s="559" t="s">
        <v>740</v>
      </c>
      <c r="D162" s="1102" t="s">
        <v>741</v>
      </c>
      <c r="E162" s="1102"/>
      <c r="F162" s="1102"/>
      <c r="G162" s="1102"/>
      <c r="H162" s="1102"/>
      <c r="I162" s="1102"/>
      <c r="J162" s="1102"/>
      <c r="K162" s="520" t="s">
        <v>5</v>
      </c>
      <c r="L162" s="560">
        <f>E170</f>
        <v>105.94</v>
      </c>
    </row>
    <row r="163" spans="3:12" x14ac:dyDescent="0.25">
      <c r="C163" s="179"/>
      <c r="D163" s="47"/>
      <c r="E163" s="47"/>
      <c r="F163" s="47"/>
      <c r="G163" s="47"/>
      <c r="L163" s="169"/>
    </row>
    <row r="164" spans="3:12" x14ac:dyDescent="0.25">
      <c r="C164" s="180"/>
      <c r="D164" s="588" t="s">
        <v>106</v>
      </c>
      <c r="E164" s="588" t="s">
        <v>218</v>
      </c>
      <c r="F164" s="588" t="s">
        <v>732</v>
      </c>
      <c r="G164" s="588" t="s">
        <v>77</v>
      </c>
      <c r="H164" s="36"/>
      <c r="L164" s="170"/>
    </row>
    <row r="165" spans="3:12" x14ac:dyDescent="0.25">
      <c r="C165" s="180"/>
      <c r="D165" s="566" t="s">
        <v>108</v>
      </c>
      <c r="E165" s="582">
        <v>4.55</v>
      </c>
      <c r="F165" s="588">
        <v>0.86</v>
      </c>
      <c r="G165" s="582">
        <f>E165+F165</f>
        <v>5.41</v>
      </c>
      <c r="H165" s="36"/>
      <c r="L165" s="170"/>
    </row>
    <row r="166" spans="3:12" x14ac:dyDescent="0.25">
      <c r="C166" s="180"/>
      <c r="D166" s="566" t="s">
        <v>118</v>
      </c>
      <c r="E166" s="582">
        <v>5</v>
      </c>
      <c r="F166" s="588">
        <v>1.06</v>
      </c>
      <c r="G166" s="582">
        <f t="shared" ref="G166:G169" si="1">E166+F166</f>
        <v>6.0600000000000005</v>
      </c>
      <c r="H166" s="36"/>
      <c r="L166" s="170"/>
    </row>
    <row r="167" spans="3:12" x14ac:dyDescent="0.25">
      <c r="C167" s="180"/>
      <c r="D167" s="566" t="s">
        <v>101</v>
      </c>
      <c r="E167" s="582">
        <v>2.44</v>
      </c>
      <c r="F167" s="588">
        <v>0.86</v>
      </c>
      <c r="G167" s="582">
        <f t="shared" si="1"/>
        <v>3.3</v>
      </c>
      <c r="H167" s="36"/>
      <c r="L167" s="170"/>
    </row>
    <row r="168" spans="3:12" x14ac:dyDescent="0.25">
      <c r="C168" s="180"/>
      <c r="D168" s="532" t="s">
        <v>120</v>
      </c>
      <c r="E168" s="582">
        <v>5.83</v>
      </c>
      <c r="F168" s="588">
        <v>0.86</v>
      </c>
      <c r="G168" s="582">
        <f t="shared" si="1"/>
        <v>6.69</v>
      </c>
      <c r="H168" s="36"/>
      <c r="L168" s="170"/>
    </row>
    <row r="169" spans="3:12" x14ac:dyDescent="0.25">
      <c r="C169" s="180"/>
      <c r="D169" s="532" t="s">
        <v>722</v>
      </c>
      <c r="E169" s="582">
        <v>83.62</v>
      </c>
      <c r="F169" s="588">
        <v>0.86</v>
      </c>
      <c r="G169" s="582">
        <f t="shared" si="1"/>
        <v>84.48</v>
      </c>
      <c r="H169" s="36"/>
      <c r="L169" s="170"/>
    </row>
    <row r="170" spans="3:12" x14ac:dyDescent="0.25">
      <c r="C170" s="180"/>
      <c r="D170" s="588" t="s">
        <v>217</v>
      </c>
      <c r="E170" s="1144">
        <f>SUM(G165:G169)</f>
        <v>105.94</v>
      </c>
      <c r="F170" s="1144"/>
      <c r="G170" s="1144"/>
      <c r="H170" s="36"/>
      <c r="L170" s="170"/>
    </row>
    <row r="171" spans="3:12" x14ac:dyDescent="0.25">
      <c r="C171" s="179"/>
      <c r="D171" s="25"/>
      <c r="E171" s="25"/>
      <c r="F171" s="25"/>
      <c r="G171" s="25"/>
      <c r="L171" s="170"/>
    </row>
    <row r="172" spans="3:12" x14ac:dyDescent="0.25">
      <c r="C172" s="299"/>
      <c r="D172" s="47"/>
      <c r="E172" s="47"/>
      <c r="F172" s="47"/>
      <c r="G172" s="47"/>
      <c r="H172" s="47"/>
      <c r="I172" s="47"/>
      <c r="J172" s="47"/>
      <c r="K172" s="47"/>
      <c r="L172" s="171"/>
    </row>
    <row r="173" spans="3:12" x14ac:dyDescent="0.25">
      <c r="C173" s="559" t="s">
        <v>742</v>
      </c>
      <c r="D173" s="1102" t="s">
        <v>743</v>
      </c>
      <c r="E173" s="1102"/>
      <c r="F173" s="1102"/>
      <c r="G173" s="1102"/>
      <c r="H173" s="1102"/>
      <c r="I173" s="1102"/>
      <c r="J173" s="1102"/>
      <c r="K173" s="520" t="s">
        <v>5</v>
      </c>
      <c r="L173" s="560">
        <f>E181</f>
        <v>105.94</v>
      </c>
    </row>
    <row r="174" spans="3:12" x14ac:dyDescent="0.25">
      <c r="C174" s="189"/>
      <c r="D174" s="39"/>
      <c r="E174" s="39"/>
      <c r="F174" s="39"/>
      <c r="G174" s="39"/>
      <c r="H174" s="25"/>
      <c r="I174" s="25"/>
      <c r="J174" s="25"/>
      <c r="K174" s="25"/>
      <c r="L174" s="169"/>
    </row>
    <row r="175" spans="3:12" x14ac:dyDescent="0.25">
      <c r="C175" s="180"/>
      <c r="D175" s="588" t="s">
        <v>106</v>
      </c>
      <c r="E175" s="588" t="s">
        <v>218</v>
      </c>
      <c r="F175" s="588" t="s">
        <v>732</v>
      </c>
      <c r="G175" s="588" t="s">
        <v>77</v>
      </c>
      <c r="H175" s="36"/>
      <c r="L175" s="170"/>
    </row>
    <row r="176" spans="3:12" x14ac:dyDescent="0.25">
      <c r="C176" s="180"/>
      <c r="D176" s="566" t="s">
        <v>108</v>
      </c>
      <c r="E176" s="582">
        <v>4.55</v>
      </c>
      <c r="F176" s="588">
        <v>0.86</v>
      </c>
      <c r="G176" s="582">
        <f>E176+F176</f>
        <v>5.41</v>
      </c>
      <c r="H176" s="36"/>
      <c r="L176" s="170"/>
    </row>
    <row r="177" spans="3:12" x14ac:dyDescent="0.25">
      <c r="C177" s="180"/>
      <c r="D177" s="566" t="s">
        <v>118</v>
      </c>
      <c r="E177" s="582">
        <v>5</v>
      </c>
      <c r="F177" s="588">
        <v>1.06</v>
      </c>
      <c r="G177" s="582">
        <f t="shared" ref="G177:G180" si="2">E177+F177</f>
        <v>6.0600000000000005</v>
      </c>
      <c r="H177" s="36"/>
      <c r="L177" s="170"/>
    </row>
    <row r="178" spans="3:12" x14ac:dyDescent="0.25">
      <c r="C178" s="180"/>
      <c r="D178" s="566" t="s">
        <v>101</v>
      </c>
      <c r="E178" s="582">
        <v>2.44</v>
      </c>
      <c r="F178" s="588">
        <v>0.86</v>
      </c>
      <c r="G178" s="582">
        <f t="shared" si="2"/>
        <v>3.3</v>
      </c>
      <c r="H178" s="36"/>
      <c r="L178" s="170"/>
    </row>
    <row r="179" spans="3:12" x14ac:dyDescent="0.25">
      <c r="C179" s="180"/>
      <c r="D179" s="532" t="s">
        <v>120</v>
      </c>
      <c r="E179" s="582">
        <v>5.83</v>
      </c>
      <c r="F179" s="588">
        <v>0.86</v>
      </c>
      <c r="G179" s="582">
        <f t="shared" si="2"/>
        <v>6.69</v>
      </c>
      <c r="H179" s="36"/>
      <c r="L179" s="170"/>
    </row>
    <row r="180" spans="3:12" x14ac:dyDescent="0.25">
      <c r="C180" s="180"/>
      <c r="D180" s="532" t="s">
        <v>722</v>
      </c>
      <c r="E180" s="582">
        <v>83.62</v>
      </c>
      <c r="F180" s="588">
        <v>0.86</v>
      </c>
      <c r="G180" s="582">
        <f t="shared" si="2"/>
        <v>84.48</v>
      </c>
      <c r="H180" s="36"/>
      <c r="L180" s="170"/>
    </row>
    <row r="181" spans="3:12" x14ac:dyDescent="0.25">
      <c r="C181" s="180"/>
      <c r="D181" s="588" t="s">
        <v>217</v>
      </c>
      <c r="E181" s="1144">
        <f>SUM(G176:G180)</f>
        <v>105.94</v>
      </c>
      <c r="F181" s="1144"/>
      <c r="G181" s="1144"/>
      <c r="H181" s="36"/>
      <c r="L181" s="170"/>
    </row>
    <row r="182" spans="3:12" x14ac:dyDescent="0.25">
      <c r="C182" s="179"/>
      <c r="D182" s="25"/>
      <c r="E182" s="25"/>
      <c r="F182" s="25"/>
      <c r="G182" s="25"/>
      <c r="L182" s="170"/>
    </row>
    <row r="183" spans="3:12" x14ac:dyDescent="0.25">
      <c r="C183" s="559" t="s">
        <v>50</v>
      </c>
      <c r="D183" s="1099" t="s">
        <v>736</v>
      </c>
      <c r="E183" s="1099"/>
      <c r="F183" s="1099"/>
      <c r="G183" s="1099"/>
      <c r="H183" s="1099"/>
      <c r="I183" s="1099"/>
      <c r="J183" s="1099"/>
      <c r="K183" s="520" t="s">
        <v>7</v>
      </c>
      <c r="L183" s="640">
        <f>E187</f>
        <v>2</v>
      </c>
    </row>
    <row r="184" spans="3:12" x14ac:dyDescent="0.25">
      <c r="C184" s="189"/>
      <c r="D184" s="47"/>
      <c r="E184" s="47"/>
      <c r="F184" s="50"/>
      <c r="K184" s="39"/>
      <c r="L184" s="542"/>
    </row>
    <row r="185" spans="3:12" x14ac:dyDescent="0.25">
      <c r="C185" s="180"/>
      <c r="D185" s="529" t="s">
        <v>106</v>
      </c>
      <c r="E185" s="529" t="s">
        <v>769</v>
      </c>
      <c r="F185" s="38"/>
      <c r="J185" s="37"/>
      <c r="K185" s="131"/>
      <c r="L185" s="543"/>
    </row>
    <row r="186" spans="3:12" x14ac:dyDescent="0.25">
      <c r="C186" s="180"/>
      <c r="D186" s="555" t="s">
        <v>96</v>
      </c>
      <c r="E186" s="529">
        <v>2</v>
      </c>
      <c r="F186" s="38"/>
      <c r="J186" s="37"/>
      <c r="K186" s="131"/>
      <c r="L186" s="543"/>
    </row>
    <row r="187" spans="3:12" x14ac:dyDescent="0.25">
      <c r="C187" s="180"/>
      <c r="D187" s="529" t="s">
        <v>217</v>
      </c>
      <c r="E187" s="529">
        <f>E186</f>
        <v>2</v>
      </c>
      <c r="F187" s="38"/>
      <c r="K187" s="25"/>
      <c r="L187" s="544"/>
    </row>
    <row r="188" spans="3:12" x14ac:dyDescent="0.25">
      <c r="C188" s="179"/>
      <c r="D188" s="25"/>
      <c r="E188" s="25"/>
      <c r="F188" s="50"/>
      <c r="K188" s="47"/>
      <c r="L188" s="544"/>
    </row>
    <row r="189" spans="3:12" x14ac:dyDescent="0.25">
      <c r="C189" s="559" t="s">
        <v>50</v>
      </c>
      <c r="D189" s="1098" t="s">
        <v>752</v>
      </c>
      <c r="E189" s="1099"/>
      <c r="F189" s="1099"/>
      <c r="G189" s="1099"/>
      <c r="H189" s="1099"/>
      <c r="I189" s="1099"/>
      <c r="J189" s="1099"/>
      <c r="K189" s="520" t="s">
        <v>7</v>
      </c>
      <c r="L189" s="641">
        <f>E193</f>
        <v>4</v>
      </c>
    </row>
    <row r="190" spans="3:12" x14ac:dyDescent="0.25">
      <c r="C190" s="179"/>
      <c r="D190" s="47"/>
      <c r="E190" s="47"/>
      <c r="F190" s="50"/>
      <c r="K190" s="39"/>
      <c r="L190" s="544"/>
    </row>
    <row r="191" spans="3:12" x14ac:dyDescent="0.25">
      <c r="C191" s="180"/>
      <c r="D191" s="529" t="s">
        <v>106</v>
      </c>
      <c r="E191" s="529" t="s">
        <v>78</v>
      </c>
      <c r="F191" s="38"/>
      <c r="J191" s="37"/>
      <c r="K191" s="131"/>
      <c r="L191" s="543"/>
    </row>
    <row r="192" spans="3:12" x14ac:dyDescent="0.25">
      <c r="C192" s="180"/>
      <c r="D192" s="555" t="s">
        <v>96</v>
      </c>
      <c r="E192" s="529">
        <v>4</v>
      </c>
      <c r="F192" s="38"/>
      <c r="J192" s="37"/>
      <c r="K192" s="131"/>
      <c r="L192" s="543"/>
    </row>
    <row r="193" spans="3:12" x14ac:dyDescent="0.25">
      <c r="C193" s="180"/>
      <c r="D193" s="529" t="s">
        <v>217</v>
      </c>
      <c r="E193" s="529">
        <f>E192</f>
        <v>4</v>
      </c>
      <c r="F193" s="38"/>
      <c r="K193" s="25"/>
      <c r="L193" s="544"/>
    </row>
    <row r="194" spans="3:12" x14ac:dyDescent="0.25">
      <c r="C194" s="179"/>
      <c r="D194" s="25"/>
      <c r="E194" s="25"/>
      <c r="F194" s="50"/>
      <c r="L194" s="632"/>
    </row>
    <row r="195" spans="3:12" ht="15.75" x14ac:dyDescent="0.25">
      <c r="C195" s="659" t="s">
        <v>744</v>
      </c>
      <c r="D195" s="1098" t="s">
        <v>745</v>
      </c>
      <c r="E195" s="1099"/>
      <c r="F195" s="1099"/>
      <c r="G195" s="1099"/>
      <c r="H195" s="1099"/>
      <c r="I195" s="1099"/>
      <c r="J195" s="1100"/>
      <c r="K195" s="606" t="s">
        <v>746</v>
      </c>
      <c r="L195" s="560">
        <f>E199</f>
        <v>40</v>
      </c>
    </row>
    <row r="196" spans="3:12" x14ac:dyDescent="0.25">
      <c r="C196" s="179"/>
      <c r="D196" s="47"/>
      <c r="E196" s="47"/>
      <c r="F196" s="54"/>
      <c r="K196" s="47"/>
      <c r="L196" s="542"/>
    </row>
    <row r="197" spans="3:12" x14ac:dyDescent="0.25">
      <c r="C197" s="180"/>
      <c r="D197" s="529" t="s">
        <v>766</v>
      </c>
      <c r="E197" s="529" t="s">
        <v>768</v>
      </c>
      <c r="F197" s="557" t="s">
        <v>769</v>
      </c>
      <c r="G197" s="36"/>
      <c r="J197" s="37"/>
      <c r="K197" s="131"/>
      <c r="L197" s="543"/>
    </row>
    <row r="198" spans="3:12" x14ac:dyDescent="0.25">
      <c r="C198" s="180"/>
      <c r="D198" s="555" t="s">
        <v>767</v>
      </c>
      <c r="E198" s="529">
        <v>40</v>
      </c>
      <c r="F198" s="558">
        <v>1</v>
      </c>
      <c r="G198" s="36"/>
      <c r="J198" s="37"/>
      <c r="K198" s="131"/>
      <c r="L198" s="543"/>
    </row>
    <row r="199" spans="3:12" x14ac:dyDescent="0.25">
      <c r="C199" s="180"/>
      <c r="D199" s="529" t="s">
        <v>217</v>
      </c>
      <c r="E199" s="1094">
        <f>E198*F198</f>
        <v>40</v>
      </c>
      <c r="F199" s="1094"/>
      <c r="G199" s="36"/>
      <c r="K199" s="25"/>
      <c r="L199" s="544"/>
    </row>
    <row r="200" spans="3:12" x14ac:dyDescent="0.25">
      <c r="C200" s="179"/>
      <c r="D200" s="25"/>
      <c r="E200" s="25"/>
      <c r="F200" s="34"/>
      <c r="L200" s="632"/>
    </row>
    <row r="201" spans="3:12" x14ac:dyDescent="0.25">
      <c r="C201" s="559" t="s">
        <v>747</v>
      </c>
      <c r="D201" s="1098" t="s">
        <v>748</v>
      </c>
      <c r="E201" s="1099"/>
      <c r="F201" s="1099"/>
      <c r="G201" s="1099"/>
      <c r="H201" s="1099"/>
      <c r="I201" s="1099"/>
      <c r="J201" s="1100"/>
      <c r="K201" s="364" t="s">
        <v>7</v>
      </c>
      <c r="L201" s="560">
        <f>E205</f>
        <v>2</v>
      </c>
    </row>
    <row r="202" spans="3:12" x14ac:dyDescent="0.25">
      <c r="C202" s="179"/>
      <c r="D202" s="47"/>
      <c r="E202" s="47"/>
      <c r="F202" s="50"/>
      <c r="K202" s="47"/>
      <c r="L202" s="542"/>
    </row>
    <row r="203" spans="3:12" x14ac:dyDescent="0.25">
      <c r="C203" s="180"/>
      <c r="D203" s="529" t="s">
        <v>106</v>
      </c>
      <c r="E203" s="529" t="s">
        <v>770</v>
      </c>
      <c r="F203" s="38"/>
      <c r="J203" s="37"/>
      <c r="K203" s="131"/>
      <c r="L203" s="543"/>
    </row>
    <row r="204" spans="3:12" x14ac:dyDescent="0.25">
      <c r="C204" s="180"/>
      <c r="D204" s="555" t="s">
        <v>96</v>
      </c>
      <c r="E204" s="529">
        <v>2</v>
      </c>
      <c r="F204" s="38"/>
      <c r="J204" s="37"/>
      <c r="K204" s="131"/>
      <c r="L204" s="543"/>
    </row>
    <row r="205" spans="3:12" x14ac:dyDescent="0.25">
      <c r="C205" s="180"/>
      <c r="D205" s="529" t="s">
        <v>217</v>
      </c>
      <c r="E205" s="529">
        <f>E204</f>
        <v>2</v>
      </c>
      <c r="F205" s="38"/>
      <c r="K205" s="25"/>
      <c r="L205" s="544"/>
    </row>
    <row r="206" spans="3:12" x14ac:dyDescent="0.25">
      <c r="C206" s="179"/>
      <c r="D206" s="25"/>
      <c r="E206" s="25"/>
      <c r="F206" s="50"/>
      <c r="L206" s="632"/>
    </row>
    <row r="207" spans="3:12" ht="15.75" x14ac:dyDescent="0.25">
      <c r="C207" s="660" t="s">
        <v>749</v>
      </c>
      <c r="D207" s="1098" t="s">
        <v>750</v>
      </c>
      <c r="E207" s="1099"/>
      <c r="F207" s="1099"/>
      <c r="G207" s="1099"/>
      <c r="H207" s="1099"/>
      <c r="I207" s="1099"/>
      <c r="J207" s="1100"/>
      <c r="K207" s="611" t="s">
        <v>8</v>
      </c>
      <c r="L207" s="560">
        <f>E211</f>
        <v>36</v>
      </c>
    </row>
    <row r="208" spans="3:12" x14ac:dyDescent="0.25">
      <c r="C208" s="179"/>
      <c r="D208" s="47"/>
      <c r="E208" s="47"/>
      <c r="F208" s="54"/>
      <c r="K208" s="47"/>
      <c r="L208" s="542"/>
    </row>
    <row r="209" spans="3:12" x14ac:dyDescent="0.25">
      <c r="C209" s="180"/>
      <c r="D209" s="529" t="s">
        <v>106</v>
      </c>
      <c r="E209" s="529" t="s">
        <v>771</v>
      </c>
      <c r="F209" s="557" t="s">
        <v>773</v>
      </c>
      <c r="G209" s="36"/>
      <c r="J209" s="37"/>
      <c r="K209" s="131"/>
      <c r="L209" s="543"/>
    </row>
    <row r="210" spans="3:12" x14ac:dyDescent="0.25">
      <c r="C210" s="180"/>
      <c r="D210" s="555" t="s">
        <v>772</v>
      </c>
      <c r="E210" s="529">
        <f>18</f>
        <v>18</v>
      </c>
      <c r="F210" s="557">
        <v>2</v>
      </c>
      <c r="G210" s="36"/>
      <c r="J210" s="37"/>
      <c r="K210" s="131"/>
      <c r="L210" s="543"/>
    </row>
    <row r="211" spans="3:12" x14ac:dyDescent="0.25">
      <c r="C211" s="180"/>
      <c r="D211" s="529" t="s">
        <v>217</v>
      </c>
      <c r="E211" s="1094">
        <f>E210*F210</f>
        <v>36</v>
      </c>
      <c r="F211" s="1094"/>
      <c r="G211" s="36"/>
      <c r="K211" s="25"/>
      <c r="L211" s="544"/>
    </row>
    <row r="212" spans="3:12" x14ac:dyDescent="0.25">
      <c r="C212" s="179"/>
      <c r="D212" s="25"/>
      <c r="E212" s="25"/>
      <c r="F212" s="34"/>
      <c r="L212" s="632"/>
    </row>
    <row r="213" spans="3:12" x14ac:dyDescent="0.25">
      <c r="C213" s="661">
        <v>39848</v>
      </c>
      <c r="D213" s="1098" t="s">
        <v>751</v>
      </c>
      <c r="E213" s="1099"/>
      <c r="F213" s="1099"/>
      <c r="G213" s="1099"/>
      <c r="H213" s="1099"/>
      <c r="I213" s="1099"/>
      <c r="J213" s="1100"/>
      <c r="K213" s="364" t="s">
        <v>8</v>
      </c>
      <c r="L213" s="560">
        <f>E217</f>
        <v>25</v>
      </c>
    </row>
    <row r="214" spans="3:12" x14ac:dyDescent="0.25">
      <c r="C214" s="179"/>
      <c r="D214" s="47"/>
      <c r="E214" s="47"/>
      <c r="F214" s="50"/>
      <c r="K214" s="47"/>
      <c r="L214" s="542"/>
    </row>
    <row r="215" spans="3:12" x14ac:dyDescent="0.25">
      <c r="C215" s="180"/>
      <c r="D215" s="529" t="s">
        <v>106</v>
      </c>
      <c r="E215" s="529" t="s">
        <v>771</v>
      </c>
      <c r="F215" s="607"/>
      <c r="J215" s="37"/>
      <c r="K215" s="131"/>
      <c r="L215" s="543"/>
    </row>
    <row r="216" spans="3:12" x14ac:dyDescent="0.25">
      <c r="C216" s="180"/>
      <c r="D216" s="555" t="s">
        <v>774</v>
      </c>
      <c r="E216" s="529">
        <v>25</v>
      </c>
      <c r="F216" s="608"/>
      <c r="J216" s="37"/>
      <c r="K216" s="131"/>
      <c r="L216" s="543"/>
    </row>
    <row r="217" spans="3:12" x14ac:dyDescent="0.25">
      <c r="C217" s="180"/>
      <c r="D217" s="529" t="s">
        <v>217</v>
      </c>
      <c r="E217" s="610">
        <f>E216</f>
        <v>25</v>
      </c>
      <c r="F217" s="609"/>
      <c r="K217" s="25"/>
      <c r="L217" s="544"/>
    </row>
    <row r="218" spans="3:12" x14ac:dyDescent="0.25">
      <c r="C218" s="179"/>
      <c r="D218" s="25"/>
      <c r="E218" s="25"/>
      <c r="F218" s="50"/>
      <c r="L218" s="632"/>
    </row>
    <row r="219" spans="3:12" x14ac:dyDescent="0.25">
      <c r="C219" s="661" t="s">
        <v>753</v>
      </c>
      <c r="D219" s="1098" t="s">
        <v>754</v>
      </c>
      <c r="E219" s="1099"/>
      <c r="F219" s="1099"/>
      <c r="G219" s="1099"/>
      <c r="H219" s="1099"/>
      <c r="I219" s="1099"/>
      <c r="J219" s="1100"/>
      <c r="K219" s="364" t="s">
        <v>42</v>
      </c>
      <c r="L219" s="560">
        <f>E223</f>
        <v>10</v>
      </c>
    </row>
    <row r="220" spans="3:12" x14ac:dyDescent="0.25">
      <c r="C220" s="179"/>
      <c r="D220" s="47"/>
      <c r="E220" s="47"/>
      <c r="F220" s="50"/>
      <c r="K220" s="47"/>
      <c r="L220" s="542"/>
    </row>
    <row r="221" spans="3:12" x14ac:dyDescent="0.25">
      <c r="C221" s="180"/>
      <c r="D221" s="529" t="s">
        <v>106</v>
      </c>
      <c r="E221" s="529" t="s">
        <v>776</v>
      </c>
      <c r="F221" s="38"/>
      <c r="J221" s="37"/>
      <c r="K221" s="131"/>
      <c r="L221" s="543"/>
    </row>
    <row r="222" spans="3:12" x14ac:dyDescent="0.25">
      <c r="C222" s="180"/>
      <c r="D222" s="555" t="s">
        <v>775</v>
      </c>
      <c r="E222" s="529">
        <v>10</v>
      </c>
      <c r="F222" s="38"/>
      <c r="J222" s="37"/>
      <c r="K222" s="131"/>
      <c r="L222" s="543"/>
    </row>
    <row r="223" spans="3:12" x14ac:dyDescent="0.25">
      <c r="C223" s="180"/>
      <c r="D223" s="529" t="s">
        <v>217</v>
      </c>
      <c r="E223" s="610">
        <f>E222</f>
        <v>10</v>
      </c>
      <c r="F223" s="38"/>
      <c r="K223" s="25"/>
      <c r="L223" s="544"/>
    </row>
    <row r="224" spans="3:12" x14ac:dyDescent="0.25">
      <c r="C224" s="179"/>
      <c r="D224" s="25"/>
      <c r="E224" s="25"/>
      <c r="F224" s="50"/>
      <c r="L224" s="632"/>
    </row>
    <row r="225" spans="3:12" ht="15.75" thickBot="1" x14ac:dyDescent="0.3">
      <c r="C225" s="181"/>
      <c r="D225" s="182"/>
      <c r="E225" s="182"/>
      <c r="F225" s="182"/>
      <c r="G225" s="182"/>
      <c r="H225" s="182"/>
      <c r="I225" s="182"/>
      <c r="J225" s="182"/>
      <c r="K225" s="182"/>
      <c r="L225" s="183"/>
    </row>
  </sheetData>
  <mergeCells count="54">
    <mergeCell ref="D48:J48"/>
    <mergeCell ref="D50:J50"/>
    <mergeCell ref="D52:J52"/>
    <mergeCell ref="D38:J38"/>
    <mergeCell ref="D40:J40"/>
    <mergeCell ref="D42:J42"/>
    <mergeCell ref="D44:J44"/>
    <mergeCell ref="D46:J46"/>
    <mergeCell ref="D54:J54"/>
    <mergeCell ref="D56:J56"/>
    <mergeCell ref="D2:I2"/>
    <mergeCell ref="C3:L3"/>
    <mergeCell ref="D129:F129"/>
    <mergeCell ref="D83:J83"/>
    <mergeCell ref="D87:J87"/>
    <mergeCell ref="D107:J107"/>
    <mergeCell ref="D58:J58"/>
    <mergeCell ref="D4:J4"/>
    <mergeCell ref="D9:J9"/>
    <mergeCell ref="D29:J29"/>
    <mergeCell ref="E32:E35"/>
    <mergeCell ref="F32:F33"/>
    <mergeCell ref="F34:F35"/>
    <mergeCell ref="E36:F36"/>
    <mergeCell ref="D73:J73"/>
    <mergeCell ref="D111:J111"/>
    <mergeCell ref="D115:J115"/>
    <mergeCell ref="D127:J127"/>
    <mergeCell ref="D93:J93"/>
    <mergeCell ref="D97:J97"/>
    <mergeCell ref="D103:J103"/>
    <mergeCell ref="D79:J79"/>
    <mergeCell ref="D60:J60"/>
    <mergeCell ref="D62:J62"/>
    <mergeCell ref="D64:J64"/>
    <mergeCell ref="D66:J66"/>
    <mergeCell ref="D68:J68"/>
    <mergeCell ref="D150:J150"/>
    <mergeCell ref="D162:J162"/>
    <mergeCell ref="E170:G170"/>
    <mergeCell ref="D131:J131"/>
    <mergeCell ref="D139:J139"/>
    <mergeCell ref="D143:J143"/>
    <mergeCell ref="D173:J173"/>
    <mergeCell ref="E181:G181"/>
    <mergeCell ref="D183:J183"/>
    <mergeCell ref="D189:J189"/>
    <mergeCell ref="D195:J195"/>
    <mergeCell ref="D219:J219"/>
    <mergeCell ref="E199:F199"/>
    <mergeCell ref="D201:J201"/>
    <mergeCell ref="D207:J207"/>
    <mergeCell ref="E211:F211"/>
    <mergeCell ref="D213:J213"/>
  </mergeCells>
  <phoneticPr fontId="7" type="noConversion"/>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54"/>
  <sheetViews>
    <sheetView tabSelected="1" topLeftCell="B174" zoomScale="66" zoomScaleNormal="66" workbookViewId="0">
      <selection activeCell="E249" sqref="E249"/>
    </sheetView>
  </sheetViews>
  <sheetFormatPr defaultRowHeight="15" x14ac:dyDescent="0.25"/>
  <cols>
    <col min="3" max="3" width="26.7109375" customWidth="1"/>
    <col min="4" max="4" width="46.140625" customWidth="1"/>
    <col min="5" max="5" width="12" customWidth="1"/>
    <col min="6" max="6" width="13" customWidth="1"/>
    <col min="7" max="7" width="14.7109375" bestFit="1" customWidth="1"/>
    <col min="8" max="8" width="15.42578125" customWidth="1"/>
    <col min="9" max="9" width="14.140625" customWidth="1"/>
    <col min="10" max="10" width="15.140625" bestFit="1" customWidth="1"/>
    <col min="12" max="12" width="11.5703125" customWidth="1"/>
  </cols>
  <sheetData>
    <row r="1" spans="3:12" ht="15.75" thickBot="1" x14ac:dyDescent="0.3"/>
    <row r="2" spans="3:12" ht="16.5" thickBot="1" x14ac:dyDescent="0.3">
      <c r="C2" s="196" t="s">
        <v>1</v>
      </c>
      <c r="D2" s="1162" t="s">
        <v>2</v>
      </c>
      <c r="E2" s="1163"/>
      <c r="F2" s="1163"/>
      <c r="G2" s="1163"/>
      <c r="H2" s="1163"/>
      <c r="I2" s="1164"/>
      <c r="J2" s="572"/>
      <c r="K2" s="185" t="s">
        <v>3</v>
      </c>
      <c r="L2" s="197" t="s">
        <v>4</v>
      </c>
    </row>
    <row r="3" spans="3:12" ht="16.5" thickBot="1" x14ac:dyDescent="0.3">
      <c r="C3" s="1165" t="s">
        <v>72</v>
      </c>
      <c r="D3" s="1166"/>
      <c r="E3" s="1166"/>
      <c r="F3" s="1166"/>
      <c r="G3" s="1166"/>
      <c r="H3" s="1166"/>
      <c r="I3" s="1166"/>
      <c r="J3" s="1167"/>
      <c r="K3" s="1166"/>
      <c r="L3" s="1168"/>
    </row>
    <row r="4" spans="3:12" ht="15.75" x14ac:dyDescent="0.25">
      <c r="C4" s="187" t="s">
        <v>14</v>
      </c>
      <c r="D4" s="1133" t="s">
        <v>15</v>
      </c>
      <c r="E4" s="1133"/>
      <c r="F4" s="1133"/>
      <c r="G4" s="1133"/>
      <c r="H4" s="1133"/>
      <c r="I4" s="1133"/>
      <c r="J4" s="1133"/>
      <c r="K4" s="8" t="s">
        <v>5</v>
      </c>
      <c r="L4" s="168">
        <f>E19</f>
        <v>161.71599999999998</v>
      </c>
    </row>
    <row r="5" spans="3:12" x14ac:dyDescent="0.25">
      <c r="C5" s="175"/>
      <c r="D5" s="146"/>
      <c r="E5" s="146"/>
      <c r="F5" s="146"/>
      <c r="G5" s="138"/>
      <c r="H5" s="138"/>
      <c r="I5" s="138"/>
      <c r="J5" s="138"/>
      <c r="K5" s="138"/>
      <c r="L5" s="262"/>
    </row>
    <row r="6" spans="3:12" x14ac:dyDescent="0.25">
      <c r="C6" s="176"/>
      <c r="D6" s="585" t="s">
        <v>106</v>
      </c>
      <c r="E6" s="585" t="s">
        <v>13</v>
      </c>
      <c r="F6" s="585" t="s">
        <v>219</v>
      </c>
      <c r="G6" s="142"/>
      <c r="H6" s="129"/>
      <c r="I6" s="129"/>
      <c r="J6" s="129"/>
      <c r="K6" s="129"/>
      <c r="L6" s="215"/>
    </row>
    <row r="7" spans="3:12" x14ac:dyDescent="0.25">
      <c r="C7" s="176"/>
      <c r="D7" s="581" t="s">
        <v>121</v>
      </c>
      <c r="E7" s="585">
        <v>36.76</v>
      </c>
      <c r="F7" s="577">
        <f>34.58*0.2</f>
        <v>6.9160000000000004</v>
      </c>
      <c r="G7" s="142"/>
      <c r="H7" s="129"/>
      <c r="I7" s="129"/>
      <c r="J7" s="129"/>
      <c r="K7" s="129"/>
      <c r="L7" s="215"/>
    </row>
    <row r="8" spans="3:12" x14ac:dyDescent="0.25">
      <c r="C8" s="176"/>
      <c r="D8" s="581" t="s">
        <v>122</v>
      </c>
      <c r="E8" s="585">
        <v>18.63</v>
      </c>
      <c r="F8" s="577">
        <f>17.7*0.2</f>
        <v>3.54</v>
      </c>
      <c r="G8" s="142"/>
      <c r="H8" s="129"/>
      <c r="I8" s="129"/>
      <c r="J8" s="129"/>
      <c r="K8" s="129"/>
      <c r="L8" s="215"/>
    </row>
    <row r="9" spans="3:12" x14ac:dyDescent="0.25">
      <c r="C9" s="176"/>
      <c r="D9" s="581" t="s">
        <v>123</v>
      </c>
      <c r="E9" s="585">
        <v>7.74</v>
      </c>
      <c r="F9" s="577">
        <f>11.45*0.2</f>
        <v>2.29</v>
      </c>
      <c r="G9" s="142"/>
      <c r="H9" s="129"/>
      <c r="I9" s="129"/>
      <c r="J9" s="129"/>
      <c r="K9" s="129"/>
      <c r="L9" s="215"/>
    </row>
    <row r="10" spans="3:12" x14ac:dyDescent="0.25">
      <c r="C10" s="176"/>
      <c r="D10" s="581" t="s">
        <v>124</v>
      </c>
      <c r="E10" s="585">
        <v>2.74</v>
      </c>
      <c r="F10" s="577">
        <f>6.88*0.2</f>
        <v>1.3760000000000001</v>
      </c>
      <c r="G10" s="142"/>
      <c r="H10" s="129"/>
      <c r="I10" s="129"/>
      <c r="J10" s="129"/>
      <c r="K10" s="129"/>
      <c r="L10" s="215"/>
    </row>
    <row r="11" spans="3:12" x14ac:dyDescent="0.25">
      <c r="C11" s="176"/>
      <c r="D11" s="581" t="s">
        <v>125</v>
      </c>
      <c r="E11" s="585">
        <v>42.04</v>
      </c>
      <c r="F11" s="577">
        <f>30.71*0.2</f>
        <v>6.1420000000000003</v>
      </c>
      <c r="G11" s="142"/>
      <c r="H11" s="129"/>
      <c r="I11" s="129"/>
      <c r="J11" s="129"/>
      <c r="K11" s="129"/>
      <c r="L11" s="215"/>
    </row>
    <row r="12" spans="3:12" x14ac:dyDescent="0.25">
      <c r="C12" s="176"/>
      <c r="D12" s="581" t="s">
        <v>126</v>
      </c>
      <c r="E12" s="585">
        <v>2.1800000000000002</v>
      </c>
      <c r="F12" s="577">
        <f>6.37*0.2</f>
        <v>1.274</v>
      </c>
      <c r="G12" s="142"/>
      <c r="H12" s="129"/>
      <c r="I12" s="129"/>
      <c r="J12" s="129"/>
      <c r="K12" s="129"/>
      <c r="L12" s="215"/>
    </row>
    <row r="13" spans="3:12" x14ac:dyDescent="0.25">
      <c r="C13" s="176"/>
      <c r="D13" s="581" t="s">
        <v>128</v>
      </c>
      <c r="E13" s="585">
        <v>15.86</v>
      </c>
      <c r="F13" s="577">
        <f>14.49*0.2</f>
        <v>2.8980000000000001</v>
      </c>
      <c r="G13" s="142"/>
      <c r="H13" s="129"/>
      <c r="I13" s="129"/>
      <c r="J13" s="129"/>
      <c r="K13" s="129"/>
      <c r="L13" s="215"/>
    </row>
    <row r="14" spans="3:12" x14ac:dyDescent="0.25">
      <c r="C14" s="176"/>
      <c r="D14" s="581" t="s">
        <v>129</v>
      </c>
      <c r="E14" s="585">
        <v>2.4500000000000002</v>
      </c>
      <c r="F14" s="577">
        <f>6.42*0.2</f>
        <v>1.284</v>
      </c>
      <c r="G14" s="142"/>
      <c r="H14" s="129"/>
      <c r="I14" s="129"/>
      <c r="J14" s="129"/>
      <c r="K14" s="129"/>
      <c r="L14" s="215"/>
    </row>
    <row r="15" spans="3:12" x14ac:dyDescent="0.25">
      <c r="C15" s="176"/>
      <c r="D15" s="581" t="s">
        <v>130</v>
      </c>
      <c r="E15" s="585">
        <v>1.54</v>
      </c>
      <c r="F15" s="577">
        <f>4.96*0.2</f>
        <v>0.99199999999999999</v>
      </c>
      <c r="G15" s="142"/>
      <c r="H15" s="129"/>
      <c r="I15" s="129"/>
      <c r="J15" s="129"/>
      <c r="K15" s="129"/>
      <c r="L15" s="215"/>
    </row>
    <row r="16" spans="3:12" x14ac:dyDescent="0.25">
      <c r="C16" s="176"/>
      <c r="D16" s="581" t="s">
        <v>131</v>
      </c>
      <c r="E16" s="585">
        <v>1.54</v>
      </c>
      <c r="F16" s="577">
        <f>4.96*0.2</f>
        <v>0.99199999999999999</v>
      </c>
      <c r="G16" s="142"/>
      <c r="H16" s="129"/>
      <c r="I16" s="129"/>
      <c r="J16" s="129"/>
      <c r="K16" s="129"/>
      <c r="L16" s="215"/>
    </row>
    <row r="17" spans="3:12" x14ac:dyDescent="0.25">
      <c r="C17" s="176"/>
      <c r="D17" s="581" t="s">
        <v>132</v>
      </c>
      <c r="E17" s="585">
        <v>1.54</v>
      </c>
      <c r="F17" s="577">
        <f>4.96*0.2</f>
        <v>0.99199999999999999</v>
      </c>
      <c r="G17" s="142"/>
      <c r="H17" s="129"/>
      <c r="I17" s="129"/>
      <c r="J17" s="129"/>
      <c r="K17" s="129"/>
      <c r="L17" s="215"/>
    </row>
    <row r="18" spans="3:12" x14ac:dyDescent="0.25">
      <c r="C18" s="176"/>
      <c r="D18" s="585" t="s">
        <v>220</v>
      </c>
      <c r="E18" s="585">
        <f>SUM(E7:E17)</f>
        <v>133.01999999999998</v>
      </c>
      <c r="F18" s="577">
        <f>SUM(F7:F17)</f>
        <v>28.696000000000002</v>
      </c>
      <c r="G18" s="142"/>
      <c r="H18" s="129"/>
      <c r="I18" s="129"/>
      <c r="J18" s="129"/>
      <c r="K18" s="129"/>
      <c r="L18" s="215"/>
    </row>
    <row r="19" spans="3:12" x14ac:dyDescent="0.25">
      <c r="C19" s="176"/>
      <c r="D19" s="585" t="s">
        <v>217</v>
      </c>
      <c r="E19" s="1105">
        <f>E18+F18</f>
        <v>161.71599999999998</v>
      </c>
      <c r="F19" s="1105"/>
      <c r="G19" s="142"/>
      <c r="H19" s="129"/>
      <c r="I19" s="129"/>
      <c r="J19" s="129"/>
      <c r="K19" s="129"/>
      <c r="L19" s="215"/>
    </row>
    <row r="20" spans="3:12" x14ac:dyDescent="0.25">
      <c r="C20" s="177"/>
      <c r="D20" s="146"/>
      <c r="E20" s="146"/>
      <c r="F20" s="146"/>
      <c r="G20" s="136"/>
      <c r="H20" s="136"/>
      <c r="I20" s="136"/>
      <c r="J20" s="136"/>
      <c r="K20" s="136"/>
      <c r="L20" s="270"/>
    </row>
    <row r="21" spans="3:12" ht="15.75" x14ac:dyDescent="0.25">
      <c r="C21" s="187" t="s">
        <v>16</v>
      </c>
      <c r="D21" s="1133" t="s">
        <v>17</v>
      </c>
      <c r="E21" s="1133"/>
      <c r="F21" s="1133"/>
      <c r="G21" s="1133"/>
      <c r="H21" s="1133"/>
      <c r="I21" s="1133"/>
      <c r="J21" s="1133"/>
      <c r="K21" s="8" t="s">
        <v>5</v>
      </c>
      <c r="L21" s="168">
        <f>E36</f>
        <v>161.71599999999998</v>
      </c>
    </row>
    <row r="22" spans="3:12" x14ac:dyDescent="0.25">
      <c r="C22" s="175"/>
      <c r="D22" s="146"/>
      <c r="E22" s="146"/>
      <c r="F22" s="146"/>
      <c r="G22" s="138"/>
      <c r="H22" s="138"/>
      <c r="I22" s="138"/>
      <c r="J22" s="138"/>
      <c r="K22" s="138"/>
      <c r="L22" s="262"/>
    </row>
    <row r="23" spans="3:12" x14ac:dyDescent="0.25">
      <c r="C23" s="176"/>
      <c r="D23" s="585" t="s">
        <v>106</v>
      </c>
      <c r="E23" s="585" t="s">
        <v>13</v>
      </c>
      <c r="F23" s="585" t="s">
        <v>219</v>
      </c>
      <c r="G23" s="142"/>
      <c r="H23" s="129"/>
      <c r="I23" s="129"/>
      <c r="J23" s="129"/>
      <c r="K23" s="129"/>
      <c r="L23" s="215"/>
    </row>
    <row r="24" spans="3:12" x14ac:dyDescent="0.25">
      <c r="C24" s="176"/>
      <c r="D24" s="581" t="s">
        <v>121</v>
      </c>
      <c r="E24" s="585">
        <v>36.76</v>
      </c>
      <c r="F24" s="577">
        <f>34.58*0.2</f>
        <v>6.9160000000000004</v>
      </c>
      <c r="G24" s="142"/>
      <c r="H24" s="129"/>
      <c r="I24" s="129"/>
      <c r="J24" s="129"/>
      <c r="K24" s="129"/>
      <c r="L24" s="215"/>
    </row>
    <row r="25" spans="3:12" x14ac:dyDescent="0.25">
      <c r="C25" s="176"/>
      <c r="D25" s="581" t="s">
        <v>122</v>
      </c>
      <c r="E25" s="585">
        <v>18.63</v>
      </c>
      <c r="F25" s="577">
        <f>17.7*0.2</f>
        <v>3.54</v>
      </c>
      <c r="G25" s="142"/>
      <c r="H25" s="129"/>
      <c r="I25" s="129"/>
      <c r="J25" s="129"/>
      <c r="K25" s="129"/>
      <c r="L25" s="215"/>
    </row>
    <row r="26" spans="3:12" x14ac:dyDescent="0.25">
      <c r="C26" s="176"/>
      <c r="D26" s="581" t="s">
        <v>123</v>
      </c>
      <c r="E26" s="585">
        <v>7.74</v>
      </c>
      <c r="F26" s="577">
        <f>11.45*0.2</f>
        <v>2.29</v>
      </c>
      <c r="G26" s="142"/>
      <c r="H26" s="129"/>
      <c r="I26" s="129"/>
      <c r="J26" s="129"/>
      <c r="K26" s="129"/>
      <c r="L26" s="215"/>
    </row>
    <row r="27" spans="3:12" x14ac:dyDescent="0.25">
      <c r="C27" s="176"/>
      <c r="D27" s="581" t="s">
        <v>124</v>
      </c>
      <c r="E27" s="585">
        <v>2.74</v>
      </c>
      <c r="F27" s="577">
        <f>6.88*0.2</f>
        <v>1.3760000000000001</v>
      </c>
      <c r="G27" s="142"/>
      <c r="H27" s="129"/>
      <c r="I27" s="129"/>
      <c r="J27" s="129"/>
      <c r="K27" s="129"/>
      <c r="L27" s="215"/>
    </row>
    <row r="28" spans="3:12" x14ac:dyDescent="0.25">
      <c r="C28" s="176"/>
      <c r="D28" s="581" t="s">
        <v>125</v>
      </c>
      <c r="E28" s="585">
        <v>42.04</v>
      </c>
      <c r="F28" s="577">
        <f>30.71*0.2</f>
        <v>6.1420000000000003</v>
      </c>
      <c r="G28" s="142"/>
      <c r="H28" s="129"/>
      <c r="I28" s="129"/>
      <c r="J28" s="129"/>
      <c r="K28" s="129"/>
      <c r="L28" s="215"/>
    </row>
    <row r="29" spans="3:12" x14ac:dyDescent="0.25">
      <c r="C29" s="176"/>
      <c r="D29" s="581" t="s">
        <v>126</v>
      </c>
      <c r="E29" s="585">
        <v>2.1800000000000002</v>
      </c>
      <c r="F29" s="577">
        <f>6.37*0.2</f>
        <v>1.274</v>
      </c>
      <c r="G29" s="142"/>
      <c r="H29" s="129"/>
      <c r="I29" s="129"/>
      <c r="J29" s="129"/>
      <c r="K29" s="129"/>
      <c r="L29" s="215"/>
    </row>
    <row r="30" spans="3:12" x14ac:dyDescent="0.25">
      <c r="C30" s="176"/>
      <c r="D30" s="581" t="s">
        <v>128</v>
      </c>
      <c r="E30" s="585">
        <v>15.86</v>
      </c>
      <c r="F30" s="577">
        <f>14.49*0.2</f>
        <v>2.8980000000000001</v>
      </c>
      <c r="G30" s="142"/>
      <c r="H30" s="129"/>
      <c r="I30" s="129"/>
      <c r="J30" s="129"/>
      <c r="K30" s="129"/>
      <c r="L30" s="215"/>
    </row>
    <row r="31" spans="3:12" x14ac:dyDescent="0.25">
      <c r="C31" s="176"/>
      <c r="D31" s="581" t="s">
        <v>129</v>
      </c>
      <c r="E31" s="585">
        <v>2.4500000000000002</v>
      </c>
      <c r="F31" s="577">
        <f>6.42*0.2</f>
        <v>1.284</v>
      </c>
      <c r="G31" s="142"/>
      <c r="H31" s="129"/>
      <c r="I31" s="129"/>
      <c r="J31" s="129"/>
      <c r="K31" s="129"/>
      <c r="L31" s="215"/>
    </row>
    <row r="32" spans="3:12" x14ac:dyDescent="0.25">
      <c r="C32" s="176"/>
      <c r="D32" s="581" t="s">
        <v>130</v>
      </c>
      <c r="E32" s="585">
        <v>1.54</v>
      </c>
      <c r="F32" s="577">
        <f>4.96*0.2</f>
        <v>0.99199999999999999</v>
      </c>
      <c r="G32" s="142"/>
      <c r="H32" s="129"/>
      <c r="I32" s="129"/>
      <c r="J32" s="129"/>
      <c r="K32" s="129"/>
      <c r="L32" s="215"/>
    </row>
    <row r="33" spans="3:12" x14ac:dyDescent="0.25">
      <c r="C33" s="176"/>
      <c r="D33" s="581" t="s">
        <v>131</v>
      </c>
      <c r="E33" s="585">
        <v>1.54</v>
      </c>
      <c r="F33" s="577">
        <f>4.96*0.2</f>
        <v>0.99199999999999999</v>
      </c>
      <c r="G33" s="142"/>
      <c r="H33" s="129"/>
      <c r="I33" s="129"/>
      <c r="J33" s="129"/>
      <c r="K33" s="129"/>
      <c r="L33" s="215"/>
    </row>
    <row r="34" spans="3:12" x14ac:dyDescent="0.25">
      <c r="C34" s="176"/>
      <c r="D34" s="581" t="s">
        <v>132</v>
      </c>
      <c r="E34" s="585">
        <v>1.54</v>
      </c>
      <c r="F34" s="577">
        <f>4.96*0.2</f>
        <v>0.99199999999999999</v>
      </c>
      <c r="G34" s="142"/>
      <c r="H34" s="129"/>
      <c r="I34" s="129"/>
      <c r="J34" s="129"/>
      <c r="K34" s="129"/>
      <c r="L34" s="215"/>
    </row>
    <row r="35" spans="3:12" x14ac:dyDescent="0.25">
      <c r="C35" s="176"/>
      <c r="D35" s="585" t="s">
        <v>220</v>
      </c>
      <c r="E35" s="585">
        <f>SUM(E24:E34)</f>
        <v>133.01999999999998</v>
      </c>
      <c r="F35" s="577">
        <f>SUM(F24:F34)</f>
        <v>28.696000000000002</v>
      </c>
      <c r="G35" s="142"/>
      <c r="H35" s="129"/>
      <c r="I35" s="129"/>
      <c r="J35" s="129"/>
      <c r="K35" s="129"/>
      <c r="L35" s="215"/>
    </row>
    <row r="36" spans="3:12" x14ac:dyDescent="0.25">
      <c r="C36" s="176"/>
      <c r="D36" s="585" t="s">
        <v>217</v>
      </c>
      <c r="E36" s="1105">
        <f>E35+F35</f>
        <v>161.71599999999998</v>
      </c>
      <c r="F36" s="1105"/>
      <c r="G36" s="142"/>
      <c r="H36" s="129"/>
      <c r="I36" s="129"/>
      <c r="J36" s="129"/>
      <c r="K36" s="129"/>
      <c r="L36" s="215"/>
    </row>
    <row r="37" spans="3:12" x14ac:dyDescent="0.25">
      <c r="C37" s="177"/>
      <c r="D37" s="146"/>
      <c r="E37" s="146"/>
      <c r="F37" s="146"/>
      <c r="G37" s="136"/>
      <c r="H37" s="136"/>
      <c r="I37" s="136"/>
      <c r="J37" s="136"/>
      <c r="K37" s="136"/>
      <c r="L37" s="270"/>
    </row>
    <row r="38" spans="3:12" ht="15.75" x14ac:dyDescent="0.25">
      <c r="C38" s="187" t="s">
        <v>11</v>
      </c>
      <c r="D38" s="1133" t="s">
        <v>12</v>
      </c>
      <c r="E38" s="1133"/>
      <c r="F38" s="1133"/>
      <c r="G38" s="1133"/>
      <c r="H38" s="1133"/>
      <c r="I38" s="1133"/>
      <c r="J38" s="1133"/>
      <c r="K38" s="8" t="s">
        <v>8</v>
      </c>
      <c r="L38" s="168">
        <f>E43</f>
        <v>29.099999999999994</v>
      </c>
    </row>
    <row r="39" spans="3:12" x14ac:dyDescent="0.25">
      <c r="C39" s="175"/>
      <c r="D39" s="146"/>
      <c r="E39" s="146"/>
      <c r="F39" s="138"/>
      <c r="G39" s="138"/>
      <c r="H39" s="138"/>
      <c r="I39" s="138"/>
      <c r="J39" s="138"/>
      <c r="K39" s="138"/>
      <c r="L39" s="262"/>
    </row>
    <row r="40" spans="3:12" x14ac:dyDescent="0.25">
      <c r="C40" s="176"/>
      <c r="D40" s="578" t="s">
        <v>106</v>
      </c>
      <c r="E40" s="578" t="s">
        <v>8</v>
      </c>
      <c r="F40" s="142"/>
      <c r="G40" s="129"/>
      <c r="H40" s="129"/>
      <c r="I40" s="129"/>
      <c r="J40" s="129"/>
      <c r="K40" s="129"/>
      <c r="L40" s="215"/>
    </row>
    <row r="41" spans="3:12" x14ac:dyDescent="0.25">
      <c r="C41" s="176"/>
      <c r="D41" s="581" t="s">
        <v>348</v>
      </c>
      <c r="E41" s="72">
        <f>4.85+4.8+5.7+3.45</f>
        <v>18.799999999999997</v>
      </c>
      <c r="F41" s="142"/>
      <c r="G41" s="129"/>
      <c r="H41" s="129"/>
      <c r="I41" s="129"/>
      <c r="J41" s="129"/>
      <c r="K41" s="129"/>
      <c r="L41" s="215"/>
    </row>
    <row r="42" spans="3:12" x14ac:dyDescent="0.25">
      <c r="C42" s="176"/>
      <c r="D42" s="581" t="s">
        <v>128</v>
      </c>
      <c r="E42" s="72">
        <f>(1.2+1.2)*3+1.9+1.2</f>
        <v>10.299999999999999</v>
      </c>
      <c r="F42" s="142"/>
      <c r="G42" s="129"/>
      <c r="H42" s="129"/>
      <c r="I42" s="129"/>
      <c r="J42" s="129"/>
      <c r="K42" s="129"/>
      <c r="L42" s="215"/>
    </row>
    <row r="43" spans="3:12" x14ac:dyDescent="0.25">
      <c r="C43" s="176"/>
      <c r="D43" s="578" t="s">
        <v>217</v>
      </c>
      <c r="E43" s="72">
        <f>E41+E42</f>
        <v>29.099999999999994</v>
      </c>
      <c r="F43" s="142"/>
      <c r="G43" s="129"/>
      <c r="H43" s="129"/>
      <c r="I43" s="129"/>
      <c r="J43" s="129"/>
      <c r="K43" s="129"/>
      <c r="L43" s="215"/>
    </row>
    <row r="44" spans="3:12" x14ac:dyDescent="0.25">
      <c r="C44" s="177"/>
      <c r="D44" s="146"/>
      <c r="E44" s="146"/>
      <c r="F44" s="136"/>
      <c r="G44" s="136"/>
      <c r="H44" s="136"/>
      <c r="I44" s="136"/>
      <c r="J44" s="136"/>
      <c r="K44" s="136"/>
      <c r="L44" s="270"/>
    </row>
    <row r="45" spans="3:12" ht="15.75" x14ac:dyDescent="0.25">
      <c r="C45" s="187" t="s">
        <v>32</v>
      </c>
      <c r="D45" s="1133" t="s">
        <v>33</v>
      </c>
      <c r="E45" s="1133"/>
      <c r="F45" s="1133"/>
      <c r="G45" s="1133"/>
      <c r="H45" s="1133"/>
      <c r="I45" s="1133"/>
      <c r="J45" s="1133"/>
      <c r="K45" s="8" t="s">
        <v>5</v>
      </c>
      <c r="L45" s="263">
        <f>E60</f>
        <v>571.82999999999981</v>
      </c>
    </row>
    <row r="46" spans="3:12" x14ac:dyDescent="0.25">
      <c r="C46" s="271"/>
      <c r="D46" s="194"/>
      <c r="E46" s="194"/>
      <c r="F46" s="194"/>
      <c r="G46" s="147"/>
      <c r="H46" s="147"/>
      <c r="I46" s="147"/>
      <c r="J46" s="147"/>
      <c r="K46" s="192"/>
      <c r="L46" s="262"/>
    </row>
    <row r="47" spans="3:12" x14ac:dyDescent="0.25">
      <c r="C47" s="272"/>
      <c r="D47" s="585" t="s">
        <v>106</v>
      </c>
      <c r="E47" s="585" t="s">
        <v>149</v>
      </c>
      <c r="F47" s="585" t="s">
        <v>222</v>
      </c>
      <c r="G47" s="151"/>
      <c r="H47" s="190"/>
      <c r="I47" s="190"/>
      <c r="J47" s="190"/>
      <c r="K47" s="191"/>
      <c r="L47" s="215"/>
    </row>
    <row r="48" spans="3:12" x14ac:dyDescent="0.25">
      <c r="C48" s="272"/>
      <c r="D48" s="581" t="s">
        <v>121</v>
      </c>
      <c r="E48" s="585">
        <v>93.204999999999998</v>
      </c>
      <c r="F48" s="585">
        <v>36.76</v>
      </c>
      <c r="G48" s="151"/>
      <c r="H48" s="190"/>
      <c r="I48" s="190"/>
      <c r="J48" s="190"/>
      <c r="K48" s="191"/>
      <c r="L48" s="215"/>
    </row>
    <row r="49" spans="3:12" x14ac:dyDescent="0.25">
      <c r="C49" s="272"/>
      <c r="D49" s="581" t="s">
        <v>109</v>
      </c>
      <c r="E49" s="585">
        <v>39.195</v>
      </c>
      <c r="F49" s="585">
        <v>12.71</v>
      </c>
      <c r="G49" s="151"/>
      <c r="H49" s="190"/>
      <c r="I49" s="190"/>
      <c r="J49" s="190"/>
      <c r="K49" s="191"/>
      <c r="L49" s="215"/>
    </row>
    <row r="50" spans="3:12" x14ac:dyDescent="0.25">
      <c r="C50" s="272"/>
      <c r="D50" s="581" t="s">
        <v>122</v>
      </c>
      <c r="E50" s="585">
        <v>46.994999999999997</v>
      </c>
      <c r="F50" s="585">
        <v>18.63</v>
      </c>
      <c r="G50" s="151"/>
      <c r="H50" s="190"/>
      <c r="I50" s="190"/>
      <c r="J50" s="190"/>
      <c r="K50" s="191"/>
      <c r="L50" s="215"/>
    </row>
    <row r="51" spans="3:12" x14ac:dyDescent="0.25">
      <c r="C51" s="272"/>
      <c r="D51" s="581" t="s">
        <v>123</v>
      </c>
      <c r="E51" s="585">
        <v>29.807499999999997</v>
      </c>
      <c r="F51" s="585">
        <v>7.74</v>
      </c>
      <c r="G51" s="151"/>
      <c r="H51" s="190"/>
      <c r="I51" s="190"/>
      <c r="J51" s="190"/>
      <c r="K51" s="191"/>
      <c r="L51" s="215"/>
    </row>
    <row r="52" spans="3:12" x14ac:dyDescent="0.25">
      <c r="C52" s="272"/>
      <c r="D52" s="581" t="s">
        <v>124</v>
      </c>
      <c r="E52" s="585">
        <v>18.919999999999998</v>
      </c>
      <c r="F52" s="585">
        <v>2.74</v>
      </c>
      <c r="G52" s="151"/>
      <c r="H52" s="190"/>
      <c r="I52" s="190"/>
      <c r="J52" s="190"/>
      <c r="K52" s="191"/>
      <c r="L52" s="215"/>
    </row>
    <row r="53" spans="3:12" x14ac:dyDescent="0.25">
      <c r="C53" s="272"/>
      <c r="D53" s="581" t="s">
        <v>125</v>
      </c>
      <c r="E53" s="585">
        <v>82.037499999999994</v>
      </c>
      <c r="F53" s="585">
        <v>42.04</v>
      </c>
      <c r="G53" s="151"/>
      <c r="H53" s="190"/>
      <c r="I53" s="190"/>
      <c r="J53" s="190"/>
      <c r="K53" s="191"/>
      <c r="L53" s="215"/>
    </row>
    <row r="54" spans="3:12" x14ac:dyDescent="0.25">
      <c r="C54" s="272"/>
      <c r="D54" s="581" t="s">
        <v>126</v>
      </c>
      <c r="E54" s="585">
        <v>17.517500000000002</v>
      </c>
      <c r="F54" s="585">
        <v>2.1800000000000002</v>
      </c>
      <c r="G54" s="151"/>
      <c r="H54" s="190"/>
      <c r="I54" s="190"/>
      <c r="J54" s="190"/>
      <c r="K54" s="191"/>
      <c r="L54" s="215"/>
    </row>
    <row r="55" spans="3:12" x14ac:dyDescent="0.25">
      <c r="C55" s="272"/>
      <c r="D55" s="581" t="s">
        <v>128</v>
      </c>
      <c r="E55" s="585">
        <v>39.847500000000004</v>
      </c>
      <c r="F55" s="585">
        <v>15.86</v>
      </c>
      <c r="G55" s="151"/>
      <c r="H55" s="190"/>
      <c r="I55" s="190"/>
      <c r="J55" s="190"/>
      <c r="K55" s="191"/>
      <c r="L55" s="215"/>
    </row>
    <row r="56" spans="3:12" x14ac:dyDescent="0.25">
      <c r="C56" s="272"/>
      <c r="D56" s="581" t="s">
        <v>129</v>
      </c>
      <c r="E56" s="585">
        <v>17.655000000000001</v>
      </c>
      <c r="F56" s="585">
        <v>2.4500000000000002</v>
      </c>
      <c r="G56" s="151"/>
      <c r="H56" s="190"/>
      <c r="I56" s="190"/>
      <c r="J56" s="190"/>
      <c r="K56" s="191"/>
      <c r="L56" s="215"/>
    </row>
    <row r="57" spans="3:12" x14ac:dyDescent="0.25">
      <c r="C57" s="272"/>
      <c r="D57" s="581" t="s">
        <v>130</v>
      </c>
      <c r="E57" s="585">
        <v>13.64</v>
      </c>
      <c r="F57" s="585">
        <v>1.54</v>
      </c>
      <c r="G57" s="151"/>
      <c r="H57" s="190"/>
      <c r="I57" s="190"/>
      <c r="J57" s="190"/>
      <c r="K57" s="191"/>
      <c r="L57" s="215"/>
    </row>
    <row r="58" spans="3:12" x14ac:dyDescent="0.25">
      <c r="C58" s="272"/>
      <c r="D58" s="581" t="s">
        <v>131</v>
      </c>
      <c r="E58" s="585">
        <v>13.64</v>
      </c>
      <c r="F58" s="585">
        <v>1.54</v>
      </c>
      <c r="G58" s="151"/>
      <c r="H58" s="190"/>
      <c r="I58" s="190"/>
      <c r="J58" s="190"/>
      <c r="K58" s="191"/>
      <c r="L58" s="215"/>
    </row>
    <row r="59" spans="3:12" x14ac:dyDescent="0.25">
      <c r="C59" s="272"/>
      <c r="D59" s="581" t="s">
        <v>132</v>
      </c>
      <c r="E59" s="585">
        <v>13.64</v>
      </c>
      <c r="F59" s="585">
        <v>1.54</v>
      </c>
      <c r="G59" s="151"/>
      <c r="H59" s="190"/>
      <c r="I59" s="190"/>
      <c r="J59" s="190"/>
      <c r="K59" s="191"/>
      <c r="L59" s="215"/>
    </row>
    <row r="60" spans="3:12" x14ac:dyDescent="0.25">
      <c r="C60" s="272"/>
      <c r="D60" s="581" t="s">
        <v>217</v>
      </c>
      <c r="E60" s="1158">
        <f>SUM(E48:E59)+SUM(F48:F59)</f>
        <v>571.82999999999981</v>
      </c>
      <c r="F60" s="1158"/>
      <c r="G60" s="151"/>
      <c r="H60" s="190"/>
      <c r="I60" s="190"/>
      <c r="J60" s="190"/>
      <c r="K60" s="191"/>
      <c r="L60" s="215"/>
    </row>
    <row r="61" spans="3:12" x14ac:dyDescent="0.25">
      <c r="C61" s="273"/>
      <c r="D61" s="194"/>
      <c r="E61" s="194"/>
      <c r="F61" s="194"/>
      <c r="G61" s="193"/>
      <c r="H61" s="193"/>
      <c r="I61" s="193"/>
      <c r="J61" s="193"/>
      <c r="K61" s="115"/>
      <c r="L61" s="270"/>
    </row>
    <row r="62" spans="3:12" ht="15.75" x14ac:dyDescent="0.25">
      <c r="C62" s="187" t="s">
        <v>34</v>
      </c>
      <c r="D62" s="1133" t="s">
        <v>35</v>
      </c>
      <c r="E62" s="1133"/>
      <c r="F62" s="1133"/>
      <c r="G62" s="1133"/>
      <c r="H62" s="1133"/>
      <c r="I62" s="1133"/>
      <c r="J62" s="1133"/>
      <c r="K62" s="8" t="s">
        <v>5</v>
      </c>
      <c r="L62" s="168">
        <f>E77</f>
        <v>426.09999999999991</v>
      </c>
    </row>
    <row r="63" spans="3:12" x14ac:dyDescent="0.25">
      <c r="C63" s="175"/>
      <c r="D63" s="146"/>
      <c r="E63" s="146"/>
      <c r="F63" s="138"/>
      <c r="G63" s="138"/>
      <c r="H63" s="138"/>
      <c r="I63" s="138"/>
      <c r="J63" s="138"/>
      <c r="K63" s="138"/>
      <c r="L63" s="262"/>
    </row>
    <row r="64" spans="3:12" x14ac:dyDescent="0.25">
      <c r="C64" s="176"/>
      <c r="D64" s="585" t="s">
        <v>106</v>
      </c>
      <c r="E64" s="585" t="s">
        <v>149</v>
      </c>
      <c r="F64" s="142"/>
      <c r="G64" s="129"/>
      <c r="H64" s="129"/>
      <c r="I64" s="129"/>
      <c r="J64" s="129"/>
      <c r="K64" s="129"/>
      <c r="L64" s="215"/>
    </row>
    <row r="65" spans="3:12" x14ac:dyDescent="0.25">
      <c r="C65" s="176"/>
      <c r="D65" s="581" t="s">
        <v>121</v>
      </c>
      <c r="E65" s="577">
        <v>93.204999999999998</v>
      </c>
      <c r="F65" s="142"/>
      <c r="G65" s="129"/>
      <c r="H65" s="129"/>
      <c r="I65" s="129"/>
      <c r="J65" s="129"/>
      <c r="K65" s="129"/>
      <c r="L65" s="215"/>
    </row>
    <row r="66" spans="3:12" x14ac:dyDescent="0.25">
      <c r="C66" s="176"/>
      <c r="D66" s="581" t="s">
        <v>109</v>
      </c>
      <c r="E66" s="577">
        <v>39.195</v>
      </c>
      <c r="F66" s="142"/>
      <c r="G66" s="129"/>
      <c r="H66" s="129"/>
      <c r="I66" s="129"/>
      <c r="J66" s="129"/>
      <c r="K66" s="129"/>
      <c r="L66" s="215"/>
    </row>
    <row r="67" spans="3:12" x14ac:dyDescent="0.25">
      <c r="C67" s="176"/>
      <c r="D67" s="581" t="s">
        <v>122</v>
      </c>
      <c r="E67" s="577">
        <v>46.994999999999997</v>
      </c>
      <c r="F67" s="142"/>
      <c r="G67" s="129"/>
      <c r="H67" s="129"/>
      <c r="I67" s="129"/>
      <c r="J67" s="129"/>
      <c r="K67" s="129"/>
      <c r="L67" s="215"/>
    </row>
    <row r="68" spans="3:12" x14ac:dyDescent="0.25">
      <c r="C68" s="176"/>
      <c r="D68" s="581" t="s">
        <v>123</v>
      </c>
      <c r="E68" s="577">
        <v>29.807499999999997</v>
      </c>
      <c r="F68" s="142"/>
      <c r="G68" s="129"/>
      <c r="H68" s="129"/>
      <c r="I68" s="129"/>
      <c r="J68" s="129"/>
      <c r="K68" s="129"/>
      <c r="L68" s="215"/>
    </row>
    <row r="69" spans="3:12" x14ac:dyDescent="0.25">
      <c r="C69" s="176"/>
      <c r="D69" s="581" t="s">
        <v>124</v>
      </c>
      <c r="E69" s="577">
        <v>18.919999999999998</v>
      </c>
      <c r="F69" s="142"/>
      <c r="G69" s="129"/>
      <c r="H69" s="129"/>
      <c r="I69" s="129"/>
      <c r="J69" s="129"/>
      <c r="K69" s="129"/>
      <c r="L69" s="215"/>
    </row>
    <row r="70" spans="3:12" x14ac:dyDescent="0.25">
      <c r="C70" s="176"/>
      <c r="D70" s="581" t="s">
        <v>125</v>
      </c>
      <c r="E70" s="577">
        <v>82.037499999999994</v>
      </c>
      <c r="F70" s="142"/>
      <c r="G70" s="129"/>
      <c r="H70" s="129"/>
      <c r="I70" s="129"/>
      <c r="J70" s="129"/>
      <c r="K70" s="129"/>
      <c r="L70" s="215"/>
    </row>
    <row r="71" spans="3:12" x14ac:dyDescent="0.25">
      <c r="C71" s="176"/>
      <c r="D71" s="581" t="s">
        <v>126</v>
      </c>
      <c r="E71" s="577">
        <v>17.517500000000002</v>
      </c>
      <c r="F71" s="142"/>
      <c r="G71" s="129"/>
      <c r="H71" s="129"/>
      <c r="I71" s="129"/>
      <c r="J71" s="129"/>
      <c r="K71" s="129"/>
      <c r="L71" s="215"/>
    </row>
    <row r="72" spans="3:12" x14ac:dyDescent="0.25">
      <c r="C72" s="176"/>
      <c r="D72" s="581" t="s">
        <v>128</v>
      </c>
      <c r="E72" s="577">
        <v>39.847500000000004</v>
      </c>
      <c r="F72" s="142"/>
      <c r="G72" s="129"/>
      <c r="H72" s="129"/>
      <c r="I72" s="129"/>
      <c r="J72" s="129"/>
      <c r="K72" s="129"/>
      <c r="L72" s="215"/>
    </row>
    <row r="73" spans="3:12" x14ac:dyDescent="0.25">
      <c r="C73" s="176"/>
      <c r="D73" s="581" t="s">
        <v>129</v>
      </c>
      <c r="E73" s="577">
        <v>17.655000000000001</v>
      </c>
      <c r="F73" s="142"/>
      <c r="G73" s="129"/>
      <c r="H73" s="129"/>
      <c r="I73" s="129"/>
      <c r="J73" s="129"/>
      <c r="K73" s="129"/>
      <c r="L73" s="215"/>
    </row>
    <row r="74" spans="3:12" x14ac:dyDescent="0.25">
      <c r="C74" s="176"/>
      <c r="D74" s="581" t="s">
        <v>130</v>
      </c>
      <c r="E74" s="577">
        <v>13.64</v>
      </c>
      <c r="F74" s="142"/>
      <c r="G74" s="129"/>
      <c r="H74" s="129"/>
      <c r="I74" s="129"/>
      <c r="J74" s="129"/>
      <c r="K74" s="129"/>
      <c r="L74" s="215"/>
    </row>
    <row r="75" spans="3:12" x14ac:dyDescent="0.25">
      <c r="C75" s="176"/>
      <c r="D75" s="581" t="s">
        <v>131</v>
      </c>
      <c r="E75" s="577">
        <v>13.64</v>
      </c>
      <c r="F75" s="142"/>
      <c r="G75" s="129"/>
      <c r="H75" s="129"/>
      <c r="I75" s="129"/>
      <c r="J75" s="129"/>
      <c r="K75" s="129"/>
      <c r="L75" s="215"/>
    </row>
    <row r="76" spans="3:12" x14ac:dyDescent="0.25">
      <c r="C76" s="176"/>
      <c r="D76" s="581" t="s">
        <v>132</v>
      </c>
      <c r="E76" s="577">
        <v>13.64</v>
      </c>
      <c r="F76" s="142"/>
      <c r="G76" s="129"/>
      <c r="H76" s="129"/>
      <c r="I76" s="129"/>
      <c r="J76" s="129"/>
      <c r="K76" s="129"/>
      <c r="L76" s="215"/>
    </row>
    <row r="77" spans="3:12" x14ac:dyDescent="0.25">
      <c r="C77" s="176"/>
      <c r="D77" s="578" t="s">
        <v>217</v>
      </c>
      <c r="E77" s="107">
        <f>SUM(E65:E76)</f>
        <v>426.09999999999991</v>
      </c>
      <c r="F77" s="142"/>
      <c r="G77" s="129"/>
      <c r="H77" s="129"/>
      <c r="I77" s="129"/>
      <c r="J77" s="129"/>
      <c r="K77" s="129"/>
      <c r="L77" s="215"/>
    </row>
    <row r="78" spans="3:12" x14ac:dyDescent="0.25">
      <c r="C78" s="177"/>
      <c r="D78" s="146"/>
      <c r="E78" s="146"/>
      <c r="F78" s="136"/>
      <c r="G78" s="136"/>
      <c r="H78" s="136"/>
      <c r="I78" s="136"/>
      <c r="J78" s="136"/>
      <c r="K78" s="136"/>
      <c r="L78" s="270"/>
    </row>
    <row r="79" spans="3:12" ht="15.75" x14ac:dyDescent="0.25">
      <c r="C79" s="187" t="s">
        <v>36</v>
      </c>
      <c r="D79" s="1133" t="s">
        <v>37</v>
      </c>
      <c r="E79" s="1133"/>
      <c r="F79" s="1133"/>
      <c r="G79" s="1133"/>
      <c r="H79" s="1133"/>
      <c r="I79" s="1133"/>
      <c r="J79" s="1133"/>
      <c r="K79" s="8" t="s">
        <v>7</v>
      </c>
      <c r="L79" s="168">
        <f>E82</f>
        <v>1</v>
      </c>
    </row>
    <row r="80" spans="3:12" ht="15.75" x14ac:dyDescent="0.25">
      <c r="C80" s="274"/>
      <c r="D80" s="113"/>
      <c r="E80" s="113"/>
      <c r="F80" s="110"/>
      <c r="G80" s="110"/>
      <c r="H80" s="110"/>
      <c r="I80" s="110"/>
      <c r="J80" s="110"/>
      <c r="K80" s="112"/>
      <c r="L80" s="262"/>
    </row>
    <row r="81" spans="3:12" ht="15.75" x14ac:dyDescent="0.25">
      <c r="C81" s="275"/>
      <c r="D81" s="579" t="s">
        <v>106</v>
      </c>
      <c r="E81" s="579" t="s">
        <v>155</v>
      </c>
      <c r="F81" s="98"/>
      <c r="G81" s="96"/>
      <c r="H81" s="96"/>
      <c r="I81" s="96"/>
      <c r="J81" s="96"/>
      <c r="K81" s="111"/>
      <c r="L81" s="215"/>
    </row>
    <row r="82" spans="3:12" ht="15.75" x14ac:dyDescent="0.25">
      <c r="C82" s="275"/>
      <c r="D82" s="105" t="s">
        <v>127</v>
      </c>
      <c r="E82" s="107">
        <v>1</v>
      </c>
      <c r="F82" s="98"/>
      <c r="G82" s="96"/>
      <c r="H82" s="96"/>
      <c r="I82" s="96"/>
      <c r="J82" s="96"/>
      <c r="K82" s="111"/>
      <c r="L82" s="215"/>
    </row>
    <row r="83" spans="3:12" ht="15.75" x14ac:dyDescent="0.25">
      <c r="C83" s="276"/>
      <c r="D83" s="110"/>
      <c r="E83" s="110"/>
      <c r="F83" s="96"/>
      <c r="G83" s="96"/>
      <c r="H83" s="96"/>
      <c r="I83" s="96"/>
      <c r="J83" s="96"/>
      <c r="K83" s="111"/>
      <c r="L83" s="215"/>
    </row>
    <row r="84" spans="3:12" ht="15.75" x14ac:dyDescent="0.25">
      <c r="C84" s="187" t="s">
        <v>38</v>
      </c>
      <c r="D84" s="1133" t="s">
        <v>39</v>
      </c>
      <c r="E84" s="1133"/>
      <c r="F84" s="1133"/>
      <c r="G84" s="1133"/>
      <c r="H84" s="1133"/>
      <c r="I84" s="1133"/>
      <c r="J84" s="1133"/>
      <c r="K84" s="8" t="s">
        <v>7</v>
      </c>
      <c r="L84" s="168">
        <f>E87</f>
        <v>1</v>
      </c>
    </row>
    <row r="85" spans="3:12" x14ac:dyDescent="0.25">
      <c r="C85" s="175"/>
      <c r="D85" s="146"/>
      <c r="E85" s="146"/>
      <c r="F85" s="138"/>
      <c r="G85" s="138"/>
      <c r="H85" s="138"/>
      <c r="I85" s="138"/>
      <c r="J85" s="138"/>
      <c r="K85" s="138"/>
      <c r="L85" s="262"/>
    </row>
    <row r="86" spans="3:12" x14ac:dyDescent="0.25">
      <c r="C86" s="176"/>
      <c r="D86" s="578" t="s">
        <v>106</v>
      </c>
      <c r="E86" s="578" t="s">
        <v>155</v>
      </c>
      <c r="F86" s="142"/>
      <c r="G86" s="129"/>
      <c r="H86" s="129"/>
      <c r="I86" s="129"/>
      <c r="J86" s="129"/>
      <c r="K86" s="129"/>
      <c r="L86" s="215"/>
    </row>
    <row r="87" spans="3:12" x14ac:dyDescent="0.25">
      <c r="C87" s="176"/>
      <c r="D87" s="581" t="s">
        <v>127</v>
      </c>
      <c r="E87" s="72">
        <v>1</v>
      </c>
      <c r="F87" s="142"/>
      <c r="G87" s="129"/>
      <c r="H87" s="129"/>
      <c r="I87" s="129"/>
      <c r="J87" s="129"/>
      <c r="K87" s="129"/>
      <c r="L87" s="215"/>
    </row>
    <row r="88" spans="3:12" x14ac:dyDescent="0.25">
      <c r="C88" s="178"/>
      <c r="D88" s="138"/>
      <c r="E88" s="138"/>
      <c r="F88" s="129"/>
      <c r="G88" s="129"/>
      <c r="H88" s="129"/>
      <c r="I88" s="129"/>
      <c r="J88" s="129"/>
      <c r="K88" s="129"/>
      <c r="L88" s="215"/>
    </row>
    <row r="89" spans="3:12" ht="15.75" x14ac:dyDescent="0.25">
      <c r="C89" s="187" t="s">
        <v>18</v>
      </c>
      <c r="D89" s="1133" t="s">
        <v>19</v>
      </c>
      <c r="E89" s="1133"/>
      <c r="F89" s="1133"/>
      <c r="G89" s="1133"/>
      <c r="H89" s="1133"/>
      <c r="I89" s="1133"/>
      <c r="J89" s="1133"/>
      <c r="K89" s="8" t="s">
        <v>7</v>
      </c>
      <c r="L89" s="168">
        <f>E97</f>
        <v>7</v>
      </c>
    </row>
    <row r="90" spans="3:12" x14ac:dyDescent="0.25">
      <c r="C90" s="175"/>
      <c r="D90" s="146"/>
      <c r="E90" s="146"/>
      <c r="F90" s="138"/>
      <c r="G90" s="138"/>
      <c r="H90" s="138"/>
      <c r="I90" s="138"/>
      <c r="J90" s="138"/>
      <c r="K90" s="138"/>
      <c r="L90" s="262"/>
    </row>
    <row r="91" spans="3:12" x14ac:dyDescent="0.25">
      <c r="C91" s="277"/>
      <c r="D91" s="578" t="s">
        <v>106</v>
      </c>
      <c r="E91" s="578" t="s">
        <v>155</v>
      </c>
      <c r="F91" s="210"/>
      <c r="G91" s="138"/>
      <c r="H91" s="138"/>
      <c r="I91" s="138"/>
      <c r="J91" s="138"/>
      <c r="K91" s="138"/>
      <c r="L91" s="262"/>
    </row>
    <row r="92" spans="3:12" x14ac:dyDescent="0.25">
      <c r="C92" s="277"/>
      <c r="D92" s="581" t="s">
        <v>424</v>
      </c>
      <c r="E92" s="68">
        <v>1</v>
      </c>
      <c r="F92" s="210"/>
      <c r="G92" s="138"/>
      <c r="H92" s="138"/>
      <c r="I92" s="138"/>
      <c r="J92" s="138"/>
      <c r="K92" s="138"/>
      <c r="L92" s="262"/>
    </row>
    <row r="93" spans="3:12" x14ac:dyDescent="0.25">
      <c r="C93" s="277"/>
      <c r="D93" s="581" t="s">
        <v>128</v>
      </c>
      <c r="E93" s="68">
        <v>1</v>
      </c>
      <c r="F93" s="210"/>
      <c r="G93" s="138"/>
      <c r="H93" s="138"/>
      <c r="I93" s="138"/>
      <c r="J93" s="138"/>
      <c r="K93" s="138"/>
      <c r="L93" s="262"/>
    </row>
    <row r="94" spans="3:12" x14ac:dyDescent="0.25">
      <c r="C94" s="277"/>
      <c r="D94" s="581" t="s">
        <v>101</v>
      </c>
      <c r="E94" s="68">
        <v>1</v>
      </c>
      <c r="F94" s="210"/>
      <c r="G94" s="138"/>
      <c r="H94" s="138"/>
      <c r="I94" s="138"/>
      <c r="J94" s="138"/>
      <c r="K94" s="138"/>
      <c r="L94" s="262"/>
    </row>
    <row r="95" spans="3:12" x14ac:dyDescent="0.25">
      <c r="C95" s="176"/>
      <c r="D95" s="581" t="s">
        <v>412</v>
      </c>
      <c r="E95" s="68">
        <v>2</v>
      </c>
      <c r="F95" s="142"/>
      <c r="G95" s="129"/>
      <c r="H95" s="129"/>
      <c r="I95" s="129"/>
      <c r="J95" s="129"/>
      <c r="K95" s="129"/>
      <c r="L95" s="215"/>
    </row>
    <row r="96" spans="3:12" x14ac:dyDescent="0.25">
      <c r="C96" s="176"/>
      <c r="D96" s="105" t="s">
        <v>425</v>
      </c>
      <c r="E96" s="108">
        <v>2</v>
      </c>
      <c r="F96" s="142"/>
      <c r="G96" s="129"/>
      <c r="H96" s="129"/>
      <c r="I96" s="129"/>
      <c r="J96" s="129"/>
      <c r="K96" s="129"/>
      <c r="L96" s="215"/>
    </row>
    <row r="97" spans="3:12" x14ac:dyDescent="0.25">
      <c r="C97" s="176"/>
      <c r="D97" s="105" t="s">
        <v>217</v>
      </c>
      <c r="E97" s="108">
        <f>SUM(E92:E96)</f>
        <v>7</v>
      </c>
      <c r="F97" s="142"/>
      <c r="G97" s="129"/>
      <c r="H97" s="129"/>
      <c r="I97" s="129"/>
      <c r="J97" s="129"/>
      <c r="K97" s="129"/>
      <c r="L97" s="215"/>
    </row>
    <row r="98" spans="3:12" x14ac:dyDescent="0.25">
      <c r="C98" s="178"/>
      <c r="D98" s="138"/>
      <c r="E98" s="138"/>
      <c r="F98" s="129"/>
      <c r="G98" s="129"/>
      <c r="H98" s="129"/>
      <c r="I98" s="129"/>
      <c r="J98" s="129"/>
      <c r="K98" s="129"/>
      <c r="L98" s="215"/>
    </row>
    <row r="99" spans="3:12" x14ac:dyDescent="0.25">
      <c r="C99" s="177"/>
      <c r="D99" s="136"/>
      <c r="E99" s="136"/>
      <c r="F99" s="136"/>
      <c r="G99" s="136"/>
      <c r="H99" s="136"/>
      <c r="I99" s="136"/>
      <c r="J99" s="136"/>
      <c r="K99" s="136"/>
      <c r="L99" s="270"/>
    </row>
    <row r="100" spans="3:12" ht="15.75" x14ac:dyDescent="0.25">
      <c r="C100" s="278" t="s">
        <v>9</v>
      </c>
      <c r="D100" s="1159" t="s">
        <v>10</v>
      </c>
      <c r="E100" s="1159"/>
      <c r="F100" s="1159"/>
      <c r="G100" s="1159"/>
      <c r="H100" s="1159"/>
      <c r="I100" s="1159"/>
      <c r="J100" s="1159"/>
      <c r="K100" s="8" t="s">
        <v>5</v>
      </c>
      <c r="L100" s="168">
        <f>E107</f>
        <v>63.498000000000005</v>
      </c>
    </row>
    <row r="101" spans="3:12" x14ac:dyDescent="0.25">
      <c r="C101" s="175"/>
      <c r="D101" s="138"/>
      <c r="E101" s="138"/>
      <c r="F101" s="138"/>
      <c r="G101" s="138"/>
      <c r="H101" s="138"/>
      <c r="I101" s="138"/>
      <c r="J101" s="138"/>
      <c r="K101" s="138"/>
      <c r="L101" s="262"/>
    </row>
    <row r="102" spans="3:12" x14ac:dyDescent="0.25">
      <c r="C102" s="178"/>
      <c r="D102" s="585" t="s">
        <v>106</v>
      </c>
      <c r="E102" s="585" t="s">
        <v>216</v>
      </c>
      <c r="F102" s="585" t="s">
        <v>156</v>
      </c>
      <c r="G102" s="585" t="s">
        <v>77</v>
      </c>
      <c r="H102" s="129"/>
      <c r="I102" s="129"/>
      <c r="J102" s="129"/>
      <c r="K102" s="129"/>
      <c r="L102" s="215"/>
    </row>
    <row r="103" spans="3:12" x14ac:dyDescent="0.25">
      <c r="C103" s="178"/>
      <c r="D103" s="585" t="s">
        <v>424</v>
      </c>
      <c r="E103" s="577">
        <v>8.3800000000000008</v>
      </c>
      <c r="F103" s="577">
        <v>2.7</v>
      </c>
      <c r="G103" s="577">
        <f>E103*F103</f>
        <v>22.626000000000005</v>
      </c>
      <c r="H103" s="129"/>
      <c r="I103" s="129"/>
      <c r="J103" s="129"/>
      <c r="K103" s="129"/>
      <c r="L103" s="215"/>
    </row>
    <row r="104" spans="3:12" x14ac:dyDescent="0.25">
      <c r="C104" s="178"/>
      <c r="D104" s="585" t="s">
        <v>101</v>
      </c>
      <c r="E104" s="577">
        <v>6.5</v>
      </c>
      <c r="F104" s="577">
        <v>2.7</v>
      </c>
      <c r="G104" s="577">
        <f>E104*F104</f>
        <v>17.55</v>
      </c>
      <c r="H104" s="129"/>
      <c r="I104" s="129"/>
      <c r="J104" s="129"/>
      <c r="K104" s="129"/>
      <c r="L104" s="215"/>
    </row>
    <row r="105" spans="3:12" x14ac:dyDescent="0.25">
      <c r="C105" s="178"/>
      <c r="D105" s="585" t="s">
        <v>412</v>
      </c>
      <c r="E105" s="577">
        <v>7.68</v>
      </c>
      <c r="F105" s="577">
        <v>2.7</v>
      </c>
      <c r="G105" s="577">
        <f>E105*F105</f>
        <v>20.736000000000001</v>
      </c>
      <c r="H105" s="129"/>
      <c r="I105" s="129"/>
      <c r="J105" s="129"/>
      <c r="K105" s="129"/>
      <c r="L105" s="215"/>
    </row>
    <row r="106" spans="3:12" x14ac:dyDescent="0.25">
      <c r="C106" s="178"/>
      <c r="D106" s="585" t="s">
        <v>425</v>
      </c>
      <c r="E106" s="577">
        <v>4.3099999999999996</v>
      </c>
      <c r="F106" s="577">
        <v>0.6</v>
      </c>
      <c r="G106" s="577">
        <f>E106*F106</f>
        <v>2.5859999999999999</v>
      </c>
      <c r="H106" s="129"/>
      <c r="I106" s="129"/>
      <c r="J106" s="129"/>
      <c r="K106" s="129"/>
      <c r="L106" s="215"/>
    </row>
    <row r="107" spans="3:12" x14ac:dyDescent="0.25">
      <c r="C107" s="178"/>
      <c r="D107" s="585" t="s">
        <v>217</v>
      </c>
      <c r="E107" s="1105">
        <f>SUM(G103:G106)</f>
        <v>63.498000000000005</v>
      </c>
      <c r="F107" s="1158"/>
      <c r="G107" s="1158"/>
      <c r="H107" s="129"/>
      <c r="I107" s="129"/>
      <c r="J107" s="129"/>
      <c r="K107" s="129"/>
      <c r="L107" s="215"/>
    </row>
    <row r="108" spans="3:12" x14ac:dyDescent="0.25">
      <c r="C108" s="178"/>
      <c r="D108" s="129"/>
      <c r="E108" s="129"/>
      <c r="F108" s="129"/>
      <c r="G108" s="129"/>
      <c r="H108" s="129"/>
      <c r="I108" s="129"/>
      <c r="J108" s="129"/>
      <c r="K108" s="129"/>
      <c r="L108" s="215"/>
    </row>
    <row r="109" spans="3:12" ht="15.75" x14ac:dyDescent="0.25">
      <c r="C109" s="278" t="s">
        <v>301</v>
      </c>
      <c r="D109" s="1159" t="s">
        <v>302</v>
      </c>
      <c r="E109" s="1159"/>
      <c r="F109" s="1159"/>
      <c r="G109" s="1159"/>
      <c r="H109" s="1159"/>
      <c r="I109" s="1159"/>
      <c r="J109" s="1159"/>
      <c r="K109" s="8" t="s">
        <v>7</v>
      </c>
      <c r="L109" s="168">
        <f>E111</f>
        <v>11</v>
      </c>
    </row>
    <row r="110" spans="3:12" x14ac:dyDescent="0.25">
      <c r="C110" s="178"/>
      <c r="D110" s="444"/>
      <c r="E110" s="129"/>
      <c r="F110" s="129"/>
      <c r="G110" s="129"/>
      <c r="H110" s="129"/>
      <c r="I110" s="129"/>
      <c r="J110" s="129"/>
      <c r="K110" s="129"/>
      <c r="L110" s="215"/>
    </row>
    <row r="111" spans="3:12" x14ac:dyDescent="0.25">
      <c r="C111" s="178"/>
      <c r="D111" s="585" t="s">
        <v>426</v>
      </c>
      <c r="E111" s="577">
        <v>11</v>
      </c>
      <c r="F111" s="129"/>
      <c r="G111" s="129"/>
      <c r="H111" s="129"/>
      <c r="I111" s="129"/>
      <c r="J111" s="129"/>
      <c r="K111" s="129"/>
      <c r="L111" s="215"/>
    </row>
    <row r="112" spans="3:12" x14ac:dyDescent="0.25">
      <c r="C112" s="178"/>
      <c r="D112" s="129"/>
      <c r="E112" s="129"/>
      <c r="F112" s="129"/>
      <c r="G112" s="129"/>
      <c r="H112" s="129"/>
      <c r="I112" s="129"/>
      <c r="J112" s="129"/>
      <c r="K112" s="129"/>
      <c r="L112" s="215"/>
    </row>
    <row r="113" spans="3:12" ht="15.75" x14ac:dyDescent="0.25">
      <c r="C113" s="278" t="s">
        <v>64</v>
      </c>
      <c r="D113" s="1159" t="s">
        <v>65</v>
      </c>
      <c r="E113" s="1159"/>
      <c r="F113" s="1159"/>
      <c r="G113" s="1159"/>
      <c r="H113" s="1159"/>
      <c r="I113" s="1159"/>
      <c r="J113" s="1159"/>
      <c r="K113" s="8" t="s">
        <v>7</v>
      </c>
      <c r="L113" s="168">
        <f>E115</f>
        <v>1</v>
      </c>
    </row>
    <row r="114" spans="3:12" x14ac:dyDescent="0.25">
      <c r="C114" s="178"/>
      <c r="D114" s="129"/>
      <c r="E114" s="129"/>
      <c r="F114" s="129"/>
      <c r="G114" s="129"/>
      <c r="H114" s="129"/>
      <c r="I114" s="129"/>
      <c r="J114" s="129"/>
      <c r="K114" s="129"/>
      <c r="L114" s="215"/>
    </row>
    <row r="115" spans="3:12" x14ac:dyDescent="0.25">
      <c r="C115" s="178"/>
      <c r="D115" s="77" t="s">
        <v>101</v>
      </c>
      <c r="E115" s="577">
        <v>1</v>
      </c>
      <c r="F115" s="129"/>
      <c r="G115" s="129"/>
      <c r="H115" s="129"/>
      <c r="I115" s="129"/>
      <c r="J115" s="129"/>
      <c r="K115" s="129"/>
      <c r="L115" s="215"/>
    </row>
    <row r="116" spans="3:12" x14ac:dyDescent="0.25">
      <c r="C116" s="178"/>
      <c r="D116" s="129"/>
      <c r="E116" s="129"/>
      <c r="F116" s="129"/>
      <c r="G116" s="129"/>
      <c r="H116" s="129"/>
      <c r="I116" s="129"/>
      <c r="J116" s="129"/>
      <c r="K116" s="129"/>
      <c r="L116" s="215"/>
    </row>
    <row r="117" spans="3:12" ht="15.75" x14ac:dyDescent="0.25">
      <c r="C117" s="278" t="s">
        <v>53</v>
      </c>
      <c r="D117" s="1159" t="s">
        <v>40</v>
      </c>
      <c r="E117" s="1159"/>
      <c r="F117" s="1159"/>
      <c r="G117" s="1159"/>
      <c r="H117" s="1159"/>
      <c r="I117" s="1159"/>
      <c r="J117" s="1159"/>
      <c r="K117" s="8" t="s">
        <v>7</v>
      </c>
      <c r="L117" s="168">
        <f>E119</f>
        <v>1</v>
      </c>
    </row>
    <row r="118" spans="3:12" x14ac:dyDescent="0.25">
      <c r="C118" s="178"/>
      <c r="D118" s="129"/>
      <c r="E118" s="129"/>
      <c r="F118" s="129"/>
      <c r="G118" s="129"/>
      <c r="H118" s="129"/>
      <c r="I118" s="129"/>
      <c r="J118" s="129"/>
      <c r="K118" s="129"/>
      <c r="L118" s="215"/>
    </row>
    <row r="119" spans="3:12" x14ac:dyDescent="0.25">
      <c r="C119" s="178"/>
      <c r="D119" s="585" t="s">
        <v>424</v>
      </c>
      <c r="E119" s="577">
        <v>1</v>
      </c>
      <c r="F119" s="129"/>
      <c r="G119" s="129"/>
      <c r="H119" s="129"/>
      <c r="I119" s="129"/>
      <c r="J119" s="129"/>
      <c r="K119" s="129"/>
      <c r="L119" s="215"/>
    </row>
    <row r="120" spans="3:12" x14ac:dyDescent="0.25">
      <c r="C120" s="178"/>
      <c r="D120" s="129"/>
      <c r="E120" s="129"/>
      <c r="F120" s="129"/>
      <c r="G120" s="129"/>
      <c r="H120" s="129"/>
      <c r="I120" s="129"/>
      <c r="J120" s="129"/>
      <c r="K120" s="129"/>
      <c r="L120" s="215"/>
    </row>
    <row r="121" spans="3:12" ht="15.75" x14ac:dyDescent="0.25">
      <c r="C121" s="278" t="s">
        <v>54</v>
      </c>
      <c r="D121" s="1159" t="s">
        <v>41</v>
      </c>
      <c r="E121" s="1159"/>
      <c r="F121" s="1159"/>
      <c r="G121" s="1159"/>
      <c r="H121" s="1159"/>
      <c r="I121" s="1159"/>
      <c r="J121" s="1159"/>
      <c r="K121" s="8" t="s">
        <v>7</v>
      </c>
      <c r="L121" s="168">
        <f>E123</f>
        <v>2</v>
      </c>
    </row>
    <row r="122" spans="3:12" x14ac:dyDescent="0.25">
      <c r="C122" s="178"/>
      <c r="D122" s="129"/>
      <c r="E122" s="129"/>
      <c r="F122" s="129"/>
      <c r="G122" s="129"/>
      <c r="H122" s="129"/>
      <c r="I122" s="129"/>
      <c r="J122" s="129"/>
      <c r="K122" s="129"/>
      <c r="L122" s="215"/>
    </row>
    <row r="123" spans="3:12" x14ac:dyDescent="0.25">
      <c r="C123" s="178"/>
      <c r="D123" s="585" t="s">
        <v>424</v>
      </c>
      <c r="E123" s="577">
        <v>2</v>
      </c>
      <c r="F123" s="129"/>
      <c r="G123" s="129"/>
      <c r="H123" s="129"/>
      <c r="I123" s="129"/>
      <c r="J123" s="129"/>
      <c r="K123" s="129"/>
      <c r="L123" s="215"/>
    </row>
    <row r="124" spans="3:12" x14ac:dyDescent="0.25">
      <c r="C124" s="178"/>
      <c r="D124" s="129"/>
      <c r="E124" s="129"/>
      <c r="F124" s="129"/>
      <c r="G124" s="129"/>
      <c r="H124" s="129"/>
      <c r="I124" s="129"/>
      <c r="J124" s="129"/>
      <c r="K124" s="129"/>
      <c r="L124" s="215"/>
    </row>
    <row r="125" spans="3:12" ht="15.75" x14ac:dyDescent="0.25">
      <c r="C125" s="278" t="s">
        <v>349</v>
      </c>
      <c r="D125" s="1159" t="s">
        <v>350</v>
      </c>
      <c r="E125" s="1159"/>
      <c r="F125" s="1159"/>
      <c r="G125" s="1159"/>
      <c r="H125" s="1159"/>
      <c r="I125" s="1159"/>
      <c r="J125" s="1159"/>
      <c r="K125" s="8" t="s">
        <v>8</v>
      </c>
      <c r="L125" s="263">
        <f>E127</f>
        <v>26.75</v>
      </c>
    </row>
    <row r="126" spans="3:12" x14ac:dyDescent="0.25">
      <c r="C126" s="178"/>
      <c r="D126" s="129"/>
      <c r="E126" s="129"/>
      <c r="F126" s="129"/>
      <c r="G126" s="129"/>
      <c r="H126" s="129"/>
      <c r="I126" s="129"/>
      <c r="J126" s="129"/>
      <c r="K126" s="129"/>
      <c r="L126" s="215"/>
    </row>
    <row r="127" spans="3:12" x14ac:dyDescent="0.25">
      <c r="C127" s="178"/>
      <c r="D127" s="105" t="s">
        <v>351</v>
      </c>
      <c r="E127" s="105">
        <f>17.75+9</f>
        <v>26.75</v>
      </c>
      <c r="F127" s="129"/>
      <c r="G127" s="129"/>
      <c r="H127" s="129"/>
      <c r="I127" s="129"/>
      <c r="J127" s="129"/>
      <c r="K127" s="129"/>
      <c r="L127" s="215"/>
    </row>
    <row r="128" spans="3:12" x14ac:dyDescent="0.25">
      <c r="C128" s="178"/>
      <c r="D128" s="129"/>
      <c r="E128" s="129"/>
      <c r="F128" s="129"/>
      <c r="G128" s="129"/>
      <c r="H128" s="129"/>
      <c r="I128" s="129"/>
      <c r="J128" s="129"/>
      <c r="K128" s="129"/>
      <c r="L128" s="215"/>
    </row>
    <row r="129" spans="3:12" ht="15.75" x14ac:dyDescent="0.25">
      <c r="C129" s="278" t="s">
        <v>26</v>
      </c>
      <c r="D129" s="1159" t="s">
        <v>27</v>
      </c>
      <c r="E129" s="1159"/>
      <c r="F129" s="1159"/>
      <c r="G129" s="1159"/>
      <c r="H129" s="1159"/>
      <c r="I129" s="1159"/>
      <c r="J129" s="1159"/>
      <c r="K129" s="8" t="s">
        <v>8</v>
      </c>
      <c r="L129" s="263">
        <f>D131</f>
        <v>180</v>
      </c>
    </row>
    <row r="130" spans="3:12" x14ac:dyDescent="0.25">
      <c r="C130" s="178"/>
      <c r="D130" s="129"/>
      <c r="E130" s="129"/>
      <c r="F130" s="129"/>
      <c r="G130" s="129"/>
      <c r="H130" s="129"/>
      <c r="I130" s="129"/>
      <c r="J130" s="129"/>
      <c r="K130" s="129"/>
      <c r="L130" s="215"/>
    </row>
    <row r="131" spans="3:12" ht="15.75" x14ac:dyDescent="0.25">
      <c r="C131" s="178"/>
      <c r="D131" s="95">
        <v>180</v>
      </c>
      <c r="E131" s="129"/>
      <c r="F131" s="129"/>
      <c r="G131" s="129"/>
      <c r="H131" s="129"/>
      <c r="I131" s="129"/>
      <c r="J131" s="129"/>
      <c r="K131" s="129"/>
      <c r="L131" s="215"/>
    </row>
    <row r="132" spans="3:12" x14ac:dyDescent="0.25">
      <c r="C132" s="178"/>
      <c r="D132" s="129"/>
      <c r="E132" s="129"/>
      <c r="F132" s="129"/>
      <c r="G132" s="129"/>
      <c r="H132" s="129"/>
      <c r="I132" s="129"/>
      <c r="J132" s="129"/>
      <c r="K132" s="129"/>
      <c r="L132" s="215"/>
    </row>
    <row r="133" spans="3:12" ht="15.75" x14ac:dyDescent="0.25">
      <c r="C133" s="278" t="s">
        <v>51</v>
      </c>
      <c r="D133" s="1159" t="s">
        <v>52</v>
      </c>
      <c r="E133" s="1159"/>
      <c r="F133" s="1159"/>
      <c r="G133" s="1159"/>
      <c r="H133" s="1159"/>
      <c r="I133" s="1159"/>
      <c r="J133" s="1159"/>
      <c r="K133" s="8" t="s">
        <v>7</v>
      </c>
      <c r="L133" s="168">
        <f>E135</f>
        <v>3</v>
      </c>
    </row>
    <row r="134" spans="3:12" x14ac:dyDescent="0.25">
      <c r="C134" s="178"/>
      <c r="D134" s="129"/>
      <c r="E134" s="129"/>
      <c r="F134" s="129"/>
      <c r="G134" s="129"/>
      <c r="H134" s="129"/>
      <c r="I134" s="129"/>
      <c r="J134" s="129"/>
      <c r="K134" s="129"/>
      <c r="L134" s="215"/>
    </row>
    <row r="135" spans="3:12" x14ac:dyDescent="0.25">
      <c r="C135" s="178"/>
      <c r="D135" s="585" t="s">
        <v>123</v>
      </c>
      <c r="E135" s="577">
        <v>3</v>
      </c>
      <c r="F135" s="129"/>
      <c r="G135" s="129"/>
      <c r="H135" s="129"/>
      <c r="I135" s="129"/>
      <c r="J135" s="129"/>
      <c r="K135" s="129"/>
      <c r="L135" s="215"/>
    </row>
    <row r="136" spans="3:12" x14ac:dyDescent="0.25">
      <c r="C136" s="178"/>
      <c r="D136" s="129"/>
      <c r="E136" s="129"/>
      <c r="F136" s="129"/>
      <c r="G136" s="129"/>
      <c r="H136" s="129"/>
      <c r="I136" s="129"/>
      <c r="J136" s="129"/>
      <c r="K136" s="129"/>
      <c r="L136" s="215"/>
    </row>
    <row r="137" spans="3:12" ht="15.75" x14ac:dyDescent="0.25">
      <c r="C137" s="278" t="s">
        <v>30</v>
      </c>
      <c r="D137" s="1159" t="s">
        <v>31</v>
      </c>
      <c r="E137" s="1159"/>
      <c r="F137" s="1159"/>
      <c r="G137" s="1159"/>
      <c r="H137" s="1159"/>
      <c r="I137" s="1159"/>
      <c r="J137" s="1159"/>
      <c r="K137" s="8" t="s">
        <v>8</v>
      </c>
      <c r="L137" s="168">
        <f>E141</f>
        <v>700</v>
      </c>
    </row>
    <row r="138" spans="3:12" x14ac:dyDescent="0.25">
      <c r="C138" s="178"/>
      <c r="D138" s="129"/>
      <c r="E138" s="129"/>
      <c r="F138" s="129"/>
      <c r="G138" s="129"/>
      <c r="H138" s="129"/>
      <c r="I138" s="129"/>
      <c r="J138" s="129"/>
      <c r="K138" s="129"/>
      <c r="L138" s="215"/>
    </row>
    <row r="139" spans="3:12" x14ac:dyDescent="0.25">
      <c r="C139" s="178"/>
      <c r="D139" s="585" t="s">
        <v>362</v>
      </c>
      <c r="E139" s="585" t="s">
        <v>155</v>
      </c>
      <c r="F139" s="129"/>
      <c r="G139" s="129"/>
      <c r="H139" s="129"/>
      <c r="I139" s="129"/>
      <c r="J139" s="129"/>
      <c r="K139" s="129"/>
      <c r="L139" s="215"/>
    </row>
    <row r="140" spans="3:12" x14ac:dyDescent="0.25">
      <c r="C140" s="178"/>
      <c r="D140" s="585">
        <f>700</f>
        <v>700</v>
      </c>
      <c r="E140" s="577">
        <v>1</v>
      </c>
      <c r="F140" s="129"/>
      <c r="G140" s="129"/>
      <c r="H140" s="129"/>
      <c r="I140" s="129"/>
      <c r="J140" s="129"/>
      <c r="K140" s="129"/>
      <c r="L140" s="215"/>
    </row>
    <row r="141" spans="3:12" x14ac:dyDescent="0.25">
      <c r="C141" s="178"/>
      <c r="D141" s="585" t="s">
        <v>217</v>
      </c>
      <c r="E141" s="577">
        <f>D140*E140</f>
        <v>700</v>
      </c>
      <c r="F141" s="129"/>
      <c r="G141" s="129"/>
      <c r="H141" s="129"/>
      <c r="I141" s="129"/>
      <c r="J141" s="129"/>
      <c r="K141" s="129"/>
      <c r="L141" s="215"/>
    </row>
    <row r="142" spans="3:12" x14ac:dyDescent="0.25">
      <c r="C142" s="178"/>
      <c r="D142" s="129"/>
      <c r="E142" s="129"/>
      <c r="F142" s="129"/>
      <c r="G142" s="129"/>
      <c r="H142" s="129"/>
      <c r="I142" s="129"/>
      <c r="J142" s="129"/>
      <c r="K142" s="129"/>
      <c r="L142" s="215"/>
    </row>
    <row r="143" spans="3:12" ht="15.75" x14ac:dyDescent="0.25">
      <c r="C143" s="278" t="s">
        <v>28</v>
      </c>
      <c r="D143" s="1159" t="s">
        <v>29</v>
      </c>
      <c r="E143" s="1159"/>
      <c r="F143" s="1159"/>
      <c r="G143" s="1159"/>
      <c r="H143" s="1159"/>
      <c r="I143" s="1159"/>
      <c r="J143" s="1159"/>
      <c r="K143" s="8" t="s">
        <v>7</v>
      </c>
      <c r="L143" s="168">
        <f>E155</f>
        <v>13</v>
      </c>
    </row>
    <row r="144" spans="3:12" x14ac:dyDescent="0.25">
      <c r="C144" s="178"/>
      <c r="D144" s="129"/>
      <c r="E144" s="129"/>
      <c r="F144" s="129"/>
      <c r="G144" s="129"/>
      <c r="H144" s="129"/>
      <c r="I144" s="129"/>
      <c r="J144" s="129"/>
      <c r="K144" s="129"/>
      <c r="L144" s="215"/>
    </row>
    <row r="145" spans="3:12" x14ac:dyDescent="0.25">
      <c r="C145" s="178"/>
      <c r="D145" s="585" t="s">
        <v>106</v>
      </c>
      <c r="E145" s="585" t="s">
        <v>155</v>
      </c>
      <c r="F145" s="129"/>
      <c r="G145" s="129"/>
      <c r="H145" s="129"/>
      <c r="I145" s="129"/>
      <c r="J145" s="129"/>
      <c r="K145" s="129"/>
      <c r="L145" s="215"/>
    </row>
    <row r="146" spans="3:12" x14ac:dyDescent="0.25">
      <c r="C146" s="178"/>
      <c r="D146" s="77" t="s">
        <v>101</v>
      </c>
      <c r="E146" s="577">
        <v>1</v>
      </c>
      <c r="F146" s="129"/>
      <c r="G146" s="129"/>
      <c r="H146" s="129"/>
      <c r="I146" s="129"/>
      <c r="J146" s="129"/>
      <c r="K146" s="129"/>
      <c r="L146" s="215"/>
    </row>
    <row r="147" spans="3:12" x14ac:dyDescent="0.25">
      <c r="C147" s="178"/>
      <c r="D147" s="77" t="s">
        <v>412</v>
      </c>
      <c r="E147" s="577">
        <v>1</v>
      </c>
      <c r="F147" s="129"/>
      <c r="G147" s="129"/>
      <c r="H147" s="129"/>
      <c r="I147" s="129"/>
      <c r="J147" s="129"/>
      <c r="K147" s="129"/>
      <c r="L147" s="215"/>
    </row>
    <row r="148" spans="3:12" x14ac:dyDescent="0.25">
      <c r="C148" s="178"/>
      <c r="D148" s="77" t="s">
        <v>427</v>
      </c>
      <c r="E148" s="577">
        <v>2</v>
      </c>
      <c r="F148" s="129"/>
      <c r="G148" s="129"/>
      <c r="H148" s="129"/>
      <c r="I148" s="129"/>
      <c r="J148" s="129"/>
      <c r="K148" s="129"/>
      <c r="L148" s="215"/>
    </row>
    <row r="149" spans="3:12" x14ac:dyDescent="0.25">
      <c r="C149" s="178"/>
      <c r="D149" s="77" t="s">
        <v>127</v>
      </c>
      <c r="E149" s="577">
        <v>1</v>
      </c>
      <c r="F149" s="129"/>
      <c r="G149" s="129"/>
      <c r="H149" s="129"/>
      <c r="I149" s="129"/>
      <c r="J149" s="129"/>
      <c r="K149" s="129"/>
      <c r="L149" s="215"/>
    </row>
    <row r="150" spans="3:12" x14ac:dyDescent="0.25">
      <c r="C150" s="178"/>
      <c r="D150" s="77" t="s">
        <v>425</v>
      </c>
      <c r="E150" s="577">
        <v>3</v>
      </c>
      <c r="F150" s="129"/>
      <c r="G150" s="129"/>
      <c r="H150" s="129"/>
      <c r="I150" s="129"/>
      <c r="J150" s="129"/>
      <c r="K150" s="129"/>
      <c r="L150" s="215"/>
    </row>
    <row r="151" spans="3:12" x14ac:dyDescent="0.25">
      <c r="C151" s="178"/>
      <c r="D151" s="77" t="s">
        <v>139</v>
      </c>
      <c r="E151" s="577">
        <v>1</v>
      </c>
      <c r="F151" s="129"/>
      <c r="G151" s="129"/>
      <c r="H151" s="129"/>
      <c r="I151" s="129"/>
      <c r="J151" s="129"/>
      <c r="K151" s="129"/>
      <c r="L151" s="215"/>
    </row>
    <row r="152" spans="3:12" x14ac:dyDescent="0.25">
      <c r="C152" s="178"/>
      <c r="D152" s="77" t="s">
        <v>124</v>
      </c>
      <c r="E152" s="577">
        <v>1</v>
      </c>
      <c r="F152" s="129"/>
      <c r="G152" s="129"/>
      <c r="H152" s="129"/>
      <c r="I152" s="129"/>
      <c r="J152" s="129"/>
      <c r="K152" s="129"/>
      <c r="L152" s="215"/>
    </row>
    <row r="153" spans="3:12" x14ac:dyDescent="0.25">
      <c r="C153" s="178"/>
      <c r="D153" s="77" t="s">
        <v>85</v>
      </c>
      <c r="E153" s="577">
        <v>2</v>
      </c>
      <c r="F153" s="129"/>
      <c r="G153" s="129"/>
      <c r="H153" s="129"/>
      <c r="I153" s="129"/>
      <c r="J153" s="129"/>
      <c r="K153" s="129"/>
      <c r="L153" s="215"/>
    </row>
    <row r="154" spans="3:12" x14ac:dyDescent="0.25">
      <c r="C154" s="178"/>
      <c r="D154" s="77" t="s">
        <v>347</v>
      </c>
      <c r="E154" s="577">
        <v>1</v>
      </c>
      <c r="F154" s="129"/>
      <c r="G154" s="129"/>
      <c r="H154" s="129"/>
      <c r="I154" s="129"/>
      <c r="J154" s="129"/>
      <c r="K154" s="129"/>
      <c r="L154" s="215"/>
    </row>
    <row r="155" spans="3:12" x14ac:dyDescent="0.25">
      <c r="C155" s="178"/>
      <c r="D155" s="585" t="s">
        <v>217</v>
      </c>
      <c r="E155" s="577">
        <f>SUM(E146:E154)</f>
        <v>13</v>
      </c>
      <c r="F155" s="129"/>
      <c r="G155" s="129"/>
      <c r="H155" s="129"/>
      <c r="I155" s="129"/>
      <c r="J155" s="129"/>
      <c r="K155" s="129"/>
      <c r="L155" s="215"/>
    </row>
    <row r="156" spans="3:12" x14ac:dyDescent="0.25">
      <c r="C156" s="178"/>
      <c r="D156" s="129"/>
      <c r="E156" s="129"/>
      <c r="F156" s="129"/>
      <c r="G156" s="129"/>
      <c r="H156" s="129"/>
      <c r="I156" s="129"/>
      <c r="J156" s="129"/>
      <c r="K156" s="129"/>
      <c r="L156" s="215"/>
    </row>
    <row r="157" spans="3:12" ht="15.75" x14ac:dyDescent="0.25">
      <c r="C157" s="278" t="s">
        <v>438</v>
      </c>
      <c r="D157" s="1159" t="s">
        <v>439</v>
      </c>
      <c r="E157" s="1159"/>
      <c r="F157" s="1159"/>
      <c r="G157" s="1159"/>
      <c r="H157" s="1159"/>
      <c r="I157" s="1159"/>
      <c r="J157" s="1159"/>
      <c r="K157" s="8" t="s">
        <v>7</v>
      </c>
      <c r="L157" s="168">
        <f>E159</f>
        <v>4</v>
      </c>
    </row>
    <row r="158" spans="3:12" x14ac:dyDescent="0.25">
      <c r="C158" s="178"/>
      <c r="D158" s="129"/>
      <c r="E158" s="129"/>
      <c r="F158" s="129"/>
      <c r="G158" s="129"/>
      <c r="H158" s="129"/>
      <c r="I158" s="129"/>
      <c r="J158" s="129"/>
      <c r="K158" s="129"/>
      <c r="L158" s="215"/>
    </row>
    <row r="159" spans="3:12" x14ac:dyDescent="0.25">
      <c r="C159" s="178"/>
      <c r="D159" s="106" t="s">
        <v>622</v>
      </c>
      <c r="E159" s="108">
        <v>4</v>
      </c>
      <c r="F159" s="129"/>
      <c r="G159" s="129"/>
      <c r="H159" s="129"/>
      <c r="I159" s="129"/>
      <c r="J159" s="129"/>
      <c r="K159" s="129"/>
      <c r="L159" s="215"/>
    </row>
    <row r="160" spans="3:12" x14ac:dyDescent="0.25">
      <c r="C160" s="178"/>
      <c r="D160" s="129"/>
      <c r="E160" s="129"/>
      <c r="F160" s="129"/>
      <c r="G160" s="129"/>
      <c r="H160" s="129"/>
      <c r="I160" s="129"/>
      <c r="J160" s="129"/>
      <c r="K160" s="129"/>
      <c r="L160" s="215"/>
    </row>
    <row r="161" spans="3:12" ht="15.75" x14ac:dyDescent="0.25">
      <c r="C161" s="278" t="s">
        <v>440</v>
      </c>
      <c r="D161" s="1159" t="s">
        <v>441</v>
      </c>
      <c r="E161" s="1159"/>
      <c r="F161" s="1159"/>
      <c r="G161" s="1159"/>
      <c r="H161" s="1159"/>
      <c r="I161" s="1159"/>
      <c r="J161" s="1159"/>
      <c r="K161" s="8" t="s">
        <v>7</v>
      </c>
      <c r="L161" s="168">
        <f>D167</f>
        <v>233.65</v>
      </c>
    </row>
    <row r="162" spans="3:12" x14ac:dyDescent="0.25">
      <c r="C162" s="178"/>
      <c r="D162" s="129"/>
      <c r="E162" s="129"/>
      <c r="F162" s="129"/>
      <c r="G162" s="129"/>
      <c r="H162" s="129"/>
      <c r="I162" s="129"/>
      <c r="J162" s="129"/>
      <c r="K162" s="129"/>
      <c r="L162" s="215"/>
    </row>
    <row r="163" spans="3:12" x14ac:dyDescent="0.25">
      <c r="C163" s="178"/>
      <c r="D163" s="105" t="s">
        <v>623</v>
      </c>
      <c r="E163" s="108">
        <v>15</v>
      </c>
      <c r="F163" s="129"/>
      <c r="G163" s="129"/>
      <c r="H163" s="129"/>
      <c r="I163" s="129"/>
      <c r="J163" s="129"/>
      <c r="K163" s="129"/>
      <c r="L163" s="215"/>
    </row>
    <row r="164" spans="3:12" x14ac:dyDescent="0.25">
      <c r="C164" s="178"/>
      <c r="D164" s="129"/>
      <c r="E164" s="129"/>
      <c r="F164" s="129"/>
      <c r="G164" s="129"/>
      <c r="H164" s="129"/>
      <c r="I164" s="129"/>
      <c r="J164" s="129"/>
      <c r="K164" s="129"/>
      <c r="L164" s="215"/>
    </row>
    <row r="165" spans="3:12" ht="15.75" x14ac:dyDescent="0.25">
      <c r="C165" s="278" t="s">
        <v>58</v>
      </c>
      <c r="D165" s="1159" t="s">
        <v>59</v>
      </c>
      <c r="E165" s="1159"/>
      <c r="F165" s="1159"/>
      <c r="G165" s="1159"/>
      <c r="H165" s="1159"/>
      <c r="I165" s="1159"/>
      <c r="J165" s="1159"/>
      <c r="K165" s="8" t="s">
        <v>48</v>
      </c>
      <c r="L165" s="168">
        <f>D167</f>
        <v>233.65</v>
      </c>
    </row>
    <row r="166" spans="3:12" x14ac:dyDescent="0.25">
      <c r="C166" s="178"/>
      <c r="D166" s="129"/>
      <c r="E166" s="129"/>
      <c r="F166" s="129"/>
      <c r="G166" s="129"/>
      <c r="H166" s="129"/>
      <c r="I166" s="129"/>
      <c r="J166" s="129"/>
      <c r="K166" s="129"/>
      <c r="L166" s="215"/>
    </row>
    <row r="167" spans="3:12" x14ac:dyDescent="0.25">
      <c r="C167" s="178"/>
      <c r="D167" s="577">
        <v>233.65</v>
      </c>
      <c r="E167" s="129"/>
      <c r="F167" s="129"/>
      <c r="G167" s="129"/>
      <c r="H167" s="129"/>
      <c r="I167" s="129"/>
      <c r="J167" s="129"/>
      <c r="K167" s="129"/>
      <c r="L167" s="215"/>
    </row>
    <row r="168" spans="3:12" x14ac:dyDescent="0.25">
      <c r="C168" s="178"/>
      <c r="D168" s="129"/>
      <c r="E168" s="129"/>
      <c r="F168" s="129"/>
      <c r="G168" s="129"/>
      <c r="H168" s="129"/>
      <c r="I168" s="129"/>
      <c r="J168" s="129"/>
      <c r="K168" s="129"/>
      <c r="L168" s="215"/>
    </row>
    <row r="169" spans="3:12" ht="15.75" x14ac:dyDescent="0.25">
      <c r="C169" s="278" t="s">
        <v>20</v>
      </c>
      <c r="D169" s="1159" t="s">
        <v>21</v>
      </c>
      <c r="E169" s="1159"/>
      <c r="F169" s="1159"/>
      <c r="G169" s="1159"/>
      <c r="H169" s="1159"/>
      <c r="I169" s="1159"/>
      <c r="J169" s="1159"/>
      <c r="K169" s="8" t="s">
        <v>8</v>
      </c>
      <c r="L169" s="168">
        <f>F179</f>
        <v>141.80000000000001</v>
      </c>
    </row>
    <row r="170" spans="3:12" x14ac:dyDescent="0.25">
      <c r="C170" s="178"/>
      <c r="D170" s="129"/>
      <c r="E170" s="129"/>
      <c r="F170" s="129"/>
      <c r="G170" s="129"/>
      <c r="H170" s="129"/>
      <c r="I170" s="129"/>
      <c r="J170" s="129"/>
      <c r="K170" s="129"/>
      <c r="L170" s="215"/>
    </row>
    <row r="171" spans="3:12" x14ac:dyDescent="0.25">
      <c r="C171" s="178"/>
      <c r="D171" s="587" t="s">
        <v>139</v>
      </c>
      <c r="E171" s="588" t="s">
        <v>624</v>
      </c>
      <c r="F171" s="582">
        <v>22</v>
      </c>
      <c r="G171" s="129"/>
      <c r="H171" s="129"/>
      <c r="I171" s="129"/>
      <c r="J171" s="129"/>
      <c r="K171" s="129"/>
      <c r="L171" s="215"/>
    </row>
    <row r="172" spans="3:12" x14ac:dyDescent="0.25">
      <c r="C172" s="178"/>
      <c r="D172" s="587" t="s">
        <v>625</v>
      </c>
      <c r="E172" s="588" t="s">
        <v>626</v>
      </c>
      <c r="F172" s="582">
        <v>5.3</v>
      </c>
      <c r="G172" s="129"/>
      <c r="H172" s="129"/>
      <c r="I172" s="129"/>
      <c r="J172" s="129"/>
      <c r="K172" s="129"/>
      <c r="L172" s="215"/>
    </row>
    <row r="173" spans="3:12" x14ac:dyDescent="0.25">
      <c r="C173" s="178"/>
      <c r="D173" s="587" t="s">
        <v>627</v>
      </c>
      <c r="E173" s="588" t="s">
        <v>628</v>
      </c>
      <c r="F173" s="582">
        <v>16.600000000000001</v>
      </c>
      <c r="G173" s="129"/>
      <c r="H173" s="129"/>
      <c r="I173" s="129"/>
      <c r="J173" s="129"/>
      <c r="K173" s="129"/>
      <c r="L173" s="215"/>
    </row>
    <row r="174" spans="3:12" x14ac:dyDescent="0.25">
      <c r="C174" s="178"/>
      <c r="D174" s="1160" t="s">
        <v>381</v>
      </c>
      <c r="E174" s="588" t="s">
        <v>629</v>
      </c>
      <c r="F174" s="582">
        <v>9.8000000000000007</v>
      </c>
      <c r="G174" s="129"/>
      <c r="H174" s="129"/>
      <c r="I174" s="129"/>
      <c r="J174" s="129"/>
      <c r="K174" s="129"/>
      <c r="L174" s="215"/>
    </row>
    <row r="175" spans="3:12" x14ac:dyDescent="0.25">
      <c r="C175" s="178"/>
      <c r="D175" s="1160"/>
      <c r="E175" s="588" t="s">
        <v>630</v>
      </c>
      <c r="F175" s="582">
        <v>5.65</v>
      </c>
      <c r="G175" s="129"/>
      <c r="H175" s="129"/>
      <c r="I175" s="129"/>
      <c r="J175" s="129"/>
      <c r="K175" s="129"/>
      <c r="L175" s="215"/>
    </row>
    <row r="176" spans="3:12" x14ac:dyDescent="0.25">
      <c r="C176" s="178"/>
      <c r="D176" s="587" t="s">
        <v>347</v>
      </c>
      <c r="E176" s="588" t="s">
        <v>631</v>
      </c>
      <c r="F176" s="582">
        <v>11.4</v>
      </c>
      <c r="G176" s="129"/>
      <c r="H176" s="129"/>
      <c r="I176" s="129"/>
      <c r="J176" s="129"/>
      <c r="K176" s="129"/>
      <c r="L176" s="215"/>
    </row>
    <row r="177" spans="3:12" x14ac:dyDescent="0.25">
      <c r="C177" s="178"/>
      <c r="D177" s="1160" t="s">
        <v>425</v>
      </c>
      <c r="E177" s="588" t="s">
        <v>632</v>
      </c>
      <c r="F177" s="582">
        <v>36.799999999999997</v>
      </c>
      <c r="G177" s="129"/>
      <c r="H177" s="129"/>
      <c r="I177" s="129"/>
      <c r="J177" s="129"/>
      <c r="K177" s="129"/>
      <c r="L177" s="215"/>
    </row>
    <row r="178" spans="3:12" x14ac:dyDescent="0.25">
      <c r="C178" s="178"/>
      <c r="D178" s="1160"/>
      <c r="E178" s="588" t="s">
        <v>633</v>
      </c>
      <c r="F178" s="582">
        <v>34.25</v>
      </c>
      <c r="G178" s="129"/>
      <c r="H178" s="129"/>
      <c r="I178" s="129"/>
      <c r="J178" s="129"/>
      <c r="K178" s="129"/>
      <c r="L178" s="215"/>
    </row>
    <row r="179" spans="3:12" x14ac:dyDescent="0.25">
      <c r="C179" s="178"/>
      <c r="D179" s="1161" t="s">
        <v>217</v>
      </c>
      <c r="E179" s="1161"/>
      <c r="F179" s="582">
        <f>SUM(F171:F178)</f>
        <v>141.80000000000001</v>
      </c>
      <c r="G179" s="129"/>
      <c r="H179" s="129"/>
      <c r="I179" s="129"/>
      <c r="J179" s="129"/>
      <c r="K179" s="129"/>
      <c r="L179" s="215"/>
    </row>
    <row r="180" spans="3:12" ht="15.75" thickBot="1" x14ac:dyDescent="0.3">
      <c r="C180" s="178"/>
      <c r="D180" s="129"/>
      <c r="E180" s="129"/>
      <c r="F180" s="129"/>
      <c r="G180" s="129"/>
      <c r="H180" s="129"/>
      <c r="I180" s="129"/>
      <c r="J180" s="129"/>
      <c r="K180" s="129"/>
      <c r="L180" s="215"/>
    </row>
    <row r="181" spans="3:12" ht="15.75" x14ac:dyDescent="0.25">
      <c r="C181" s="278" t="s">
        <v>376</v>
      </c>
      <c r="D181" s="1159" t="s">
        <v>580</v>
      </c>
      <c r="E181" s="1159"/>
      <c r="F181" s="1159"/>
      <c r="G181" s="1159"/>
      <c r="H181" s="1159"/>
      <c r="I181" s="1159"/>
      <c r="J181" s="1159"/>
      <c r="K181" s="8" t="s">
        <v>7</v>
      </c>
      <c r="L181" s="279">
        <v>2</v>
      </c>
    </row>
    <row r="182" spans="3:12" x14ac:dyDescent="0.25">
      <c r="C182" s="178"/>
      <c r="D182" s="129"/>
      <c r="E182" s="129"/>
      <c r="F182" s="129"/>
      <c r="G182" s="129"/>
      <c r="H182" s="129"/>
      <c r="I182" s="129"/>
      <c r="J182" s="129"/>
      <c r="K182" s="129"/>
      <c r="L182" s="280"/>
    </row>
    <row r="183" spans="3:12" ht="15.75" x14ac:dyDescent="0.25">
      <c r="C183" s="278" t="s">
        <v>493</v>
      </c>
      <c r="D183" s="1159" t="s">
        <v>582</v>
      </c>
      <c r="E183" s="1159"/>
      <c r="F183" s="1159"/>
      <c r="G183" s="1159"/>
      <c r="H183" s="1159"/>
      <c r="I183" s="1159"/>
      <c r="J183" s="1159"/>
      <c r="K183" s="8" t="s">
        <v>7</v>
      </c>
      <c r="L183" s="281">
        <v>1</v>
      </c>
    </row>
    <row r="184" spans="3:12" x14ac:dyDescent="0.25">
      <c r="C184" s="178"/>
      <c r="D184" s="129"/>
      <c r="E184" s="129"/>
      <c r="F184" s="129"/>
      <c r="G184" s="129"/>
      <c r="H184" s="129"/>
      <c r="I184" s="129"/>
      <c r="J184" s="129"/>
      <c r="K184" s="129"/>
      <c r="L184" s="280"/>
    </row>
    <row r="185" spans="3:12" ht="15.75" x14ac:dyDescent="0.25">
      <c r="C185" s="278" t="s">
        <v>493</v>
      </c>
      <c r="D185" s="1159" t="s">
        <v>583</v>
      </c>
      <c r="E185" s="1159"/>
      <c r="F185" s="1159"/>
      <c r="G185" s="1159"/>
      <c r="H185" s="1159"/>
      <c r="I185" s="1159"/>
      <c r="J185" s="1159"/>
      <c r="K185" s="8" t="s">
        <v>7</v>
      </c>
      <c r="L185" s="188">
        <v>1</v>
      </c>
    </row>
    <row r="186" spans="3:12" x14ac:dyDescent="0.25">
      <c r="C186" s="178"/>
      <c r="D186" s="129"/>
      <c r="E186" s="129"/>
      <c r="F186" s="129"/>
      <c r="G186" s="129"/>
      <c r="H186" s="129"/>
      <c r="I186" s="129"/>
      <c r="J186" s="129"/>
      <c r="K186" s="129"/>
      <c r="L186" s="280"/>
    </row>
    <row r="187" spans="3:12" ht="15.75" x14ac:dyDescent="0.25">
      <c r="C187" s="278" t="s">
        <v>551</v>
      </c>
      <c r="D187" s="1159" t="s">
        <v>584</v>
      </c>
      <c r="E187" s="1159"/>
      <c r="F187" s="1159"/>
      <c r="G187" s="1159"/>
      <c r="H187" s="1159"/>
      <c r="I187" s="1159"/>
      <c r="J187" s="1159"/>
      <c r="K187" s="8" t="s">
        <v>7</v>
      </c>
      <c r="L187" s="188">
        <v>1</v>
      </c>
    </row>
    <row r="188" spans="3:12" x14ac:dyDescent="0.25">
      <c r="C188" s="178"/>
      <c r="D188" s="129"/>
      <c r="E188" s="129"/>
      <c r="F188" s="129"/>
      <c r="G188" s="129"/>
      <c r="H188" s="129"/>
      <c r="I188" s="129"/>
      <c r="J188" s="129"/>
      <c r="K188" s="129"/>
      <c r="L188" s="280"/>
    </row>
    <row r="189" spans="3:12" ht="15.75" x14ac:dyDescent="0.25">
      <c r="C189" s="278" t="s">
        <v>500</v>
      </c>
      <c r="D189" s="1159" t="s">
        <v>585</v>
      </c>
      <c r="E189" s="1159"/>
      <c r="F189" s="1159"/>
      <c r="G189" s="1159"/>
      <c r="H189" s="1159"/>
      <c r="I189" s="1159"/>
      <c r="J189" s="1159"/>
      <c r="K189" s="8" t="s">
        <v>7</v>
      </c>
      <c r="L189" s="188">
        <v>1</v>
      </c>
    </row>
    <row r="190" spans="3:12" x14ac:dyDescent="0.25">
      <c r="C190" s="178"/>
      <c r="D190" s="129"/>
      <c r="E190" s="129"/>
      <c r="F190" s="129"/>
      <c r="G190" s="129"/>
      <c r="H190" s="129"/>
      <c r="I190" s="129"/>
      <c r="J190" s="129"/>
      <c r="K190" s="129"/>
      <c r="L190" s="280"/>
    </row>
    <row r="191" spans="3:12" ht="15.75" x14ac:dyDescent="0.25">
      <c r="C191" s="278" t="s">
        <v>551</v>
      </c>
      <c r="D191" s="1159" t="s">
        <v>586</v>
      </c>
      <c r="E191" s="1159"/>
      <c r="F191" s="1159"/>
      <c r="G191" s="1159"/>
      <c r="H191" s="1159"/>
      <c r="I191" s="1159"/>
      <c r="J191" s="1159"/>
      <c r="K191" s="8" t="s">
        <v>7</v>
      </c>
      <c r="L191" s="188">
        <v>2</v>
      </c>
    </row>
    <row r="192" spans="3:12" x14ac:dyDescent="0.25">
      <c r="C192" s="178"/>
      <c r="D192" s="129"/>
      <c r="E192" s="129"/>
      <c r="F192" s="129"/>
      <c r="G192" s="129"/>
      <c r="H192" s="129"/>
      <c r="I192" s="129"/>
      <c r="J192" s="129"/>
      <c r="K192" s="129"/>
      <c r="L192" s="280"/>
    </row>
    <row r="193" spans="3:12" ht="15.75" x14ac:dyDescent="0.25">
      <c r="C193" s="278" t="s">
        <v>551</v>
      </c>
      <c r="D193" s="1159" t="s">
        <v>509</v>
      </c>
      <c r="E193" s="1159"/>
      <c r="F193" s="1159"/>
      <c r="G193" s="1159"/>
      <c r="H193" s="1159"/>
      <c r="I193" s="1159"/>
      <c r="J193" s="1159"/>
      <c r="K193" s="8" t="s">
        <v>7</v>
      </c>
      <c r="L193" s="188">
        <v>1</v>
      </c>
    </row>
    <row r="194" spans="3:12" x14ac:dyDescent="0.25">
      <c r="C194" s="178"/>
      <c r="D194" s="129"/>
      <c r="E194" s="129"/>
      <c r="F194" s="129"/>
      <c r="G194" s="129"/>
      <c r="H194" s="129"/>
      <c r="I194" s="129"/>
      <c r="J194" s="129"/>
      <c r="K194" s="129"/>
      <c r="L194" s="280"/>
    </row>
    <row r="195" spans="3:12" ht="15.75" x14ac:dyDescent="0.25">
      <c r="C195" s="278" t="s">
        <v>551</v>
      </c>
      <c r="D195" s="1159" t="s">
        <v>584</v>
      </c>
      <c r="E195" s="1159"/>
      <c r="F195" s="1159"/>
      <c r="G195" s="1159"/>
      <c r="H195" s="1159"/>
      <c r="I195" s="1159"/>
      <c r="J195" s="1159"/>
      <c r="K195" s="8" t="s">
        <v>7</v>
      </c>
      <c r="L195" s="188">
        <v>1</v>
      </c>
    </row>
    <row r="196" spans="3:12" x14ac:dyDescent="0.25">
      <c r="C196" s="178"/>
      <c r="D196" s="129"/>
      <c r="E196" s="129"/>
      <c r="F196" s="129"/>
      <c r="G196" s="129"/>
      <c r="H196" s="129"/>
      <c r="I196" s="129"/>
      <c r="J196" s="129"/>
      <c r="K196" s="129"/>
      <c r="L196" s="280"/>
    </row>
    <row r="197" spans="3:12" ht="15.75" x14ac:dyDescent="0.25">
      <c r="C197" s="278" t="s">
        <v>500</v>
      </c>
      <c r="D197" s="1159" t="s">
        <v>585</v>
      </c>
      <c r="E197" s="1159"/>
      <c r="F197" s="1159"/>
      <c r="G197" s="1159"/>
      <c r="H197" s="1159"/>
      <c r="I197" s="1159"/>
      <c r="J197" s="1159"/>
      <c r="K197" s="8" t="s">
        <v>7</v>
      </c>
      <c r="L197" s="188">
        <v>1</v>
      </c>
    </row>
    <row r="198" spans="3:12" x14ac:dyDescent="0.25">
      <c r="C198" s="178"/>
      <c r="D198" s="129"/>
      <c r="E198" s="129"/>
      <c r="F198" s="129"/>
      <c r="G198" s="129"/>
      <c r="H198" s="129"/>
      <c r="I198" s="129"/>
      <c r="J198" s="129"/>
      <c r="K198" s="129"/>
      <c r="L198" s="280"/>
    </row>
    <row r="199" spans="3:12" ht="15.75" x14ac:dyDescent="0.25">
      <c r="C199" s="278" t="s">
        <v>551</v>
      </c>
      <c r="D199" s="1159" t="s">
        <v>587</v>
      </c>
      <c r="E199" s="1159"/>
      <c r="F199" s="1159"/>
      <c r="G199" s="1159"/>
      <c r="H199" s="1159"/>
      <c r="I199" s="1159"/>
      <c r="J199" s="1159"/>
      <c r="K199" s="8" t="s">
        <v>7</v>
      </c>
      <c r="L199" s="188">
        <v>1</v>
      </c>
    </row>
    <row r="200" spans="3:12" x14ac:dyDescent="0.25">
      <c r="C200" s="178"/>
      <c r="D200" s="129"/>
      <c r="E200" s="129"/>
      <c r="F200" s="129"/>
      <c r="G200" s="129"/>
      <c r="H200" s="129"/>
      <c r="I200" s="129"/>
      <c r="J200" s="129"/>
      <c r="K200" s="129"/>
      <c r="L200" s="280"/>
    </row>
    <row r="201" spans="3:12" ht="15.75" x14ac:dyDescent="0.25">
      <c r="C201" s="278" t="s">
        <v>539</v>
      </c>
      <c r="D201" s="1159" t="s">
        <v>503</v>
      </c>
      <c r="E201" s="1159"/>
      <c r="F201" s="1159"/>
      <c r="G201" s="1159"/>
      <c r="H201" s="1159"/>
      <c r="I201" s="1159"/>
      <c r="J201" s="1159"/>
      <c r="K201" s="8" t="s">
        <v>7</v>
      </c>
      <c r="L201" s="188">
        <v>1</v>
      </c>
    </row>
    <row r="202" spans="3:12" x14ac:dyDescent="0.25">
      <c r="C202" s="178"/>
      <c r="D202" s="129"/>
      <c r="E202" s="129"/>
      <c r="F202" s="129"/>
      <c r="G202" s="129"/>
      <c r="H202" s="129"/>
      <c r="I202" s="129"/>
      <c r="J202" s="129"/>
      <c r="K202" s="129"/>
      <c r="L202" s="280"/>
    </row>
    <row r="203" spans="3:12" ht="15.75" x14ac:dyDescent="0.25">
      <c r="C203" s="278" t="s">
        <v>504</v>
      </c>
      <c r="D203" s="1159" t="s">
        <v>588</v>
      </c>
      <c r="E203" s="1159"/>
      <c r="F203" s="1159"/>
      <c r="G203" s="1159"/>
      <c r="H203" s="1159"/>
      <c r="I203" s="1159"/>
      <c r="J203" s="1159"/>
      <c r="K203" s="8" t="s">
        <v>7</v>
      </c>
      <c r="L203" s="188">
        <v>1</v>
      </c>
    </row>
    <row r="204" spans="3:12" x14ac:dyDescent="0.25">
      <c r="C204" s="178"/>
      <c r="D204" s="129"/>
      <c r="E204" s="129"/>
      <c r="F204" s="129"/>
      <c r="G204" s="129"/>
      <c r="H204" s="129"/>
      <c r="I204" s="129"/>
      <c r="J204" s="129"/>
      <c r="K204" s="129"/>
      <c r="L204" s="280"/>
    </row>
    <row r="205" spans="3:12" ht="15.75" x14ac:dyDescent="0.25">
      <c r="C205" s="278" t="s">
        <v>500</v>
      </c>
      <c r="D205" s="1159" t="s">
        <v>585</v>
      </c>
      <c r="E205" s="1159"/>
      <c r="F205" s="1159"/>
      <c r="G205" s="1159"/>
      <c r="H205" s="1159"/>
      <c r="I205" s="1159"/>
      <c r="J205" s="1159"/>
      <c r="K205" s="8" t="s">
        <v>7</v>
      </c>
      <c r="L205" s="188">
        <v>1</v>
      </c>
    </row>
    <row r="206" spans="3:12" x14ac:dyDescent="0.25">
      <c r="C206" s="178"/>
      <c r="D206" s="129"/>
      <c r="E206" s="129"/>
      <c r="F206" s="129"/>
      <c r="G206" s="129"/>
      <c r="H206" s="129"/>
      <c r="I206" s="129"/>
      <c r="J206" s="129"/>
      <c r="K206" s="129"/>
      <c r="L206" s="280"/>
    </row>
    <row r="207" spans="3:12" ht="15.75" x14ac:dyDescent="0.25">
      <c r="C207" s="278" t="s">
        <v>497</v>
      </c>
      <c r="D207" s="1159" t="s">
        <v>589</v>
      </c>
      <c r="E207" s="1159"/>
      <c r="F207" s="1159"/>
      <c r="G207" s="1159"/>
      <c r="H207" s="1159"/>
      <c r="I207" s="1159"/>
      <c r="J207" s="1159"/>
      <c r="K207" s="8" t="s">
        <v>7</v>
      </c>
      <c r="L207" s="188">
        <v>1</v>
      </c>
    </row>
    <row r="208" spans="3:12" x14ac:dyDescent="0.25">
      <c r="C208" s="178"/>
      <c r="D208" s="129"/>
      <c r="E208" s="129"/>
      <c r="F208" s="129"/>
      <c r="G208" s="129"/>
      <c r="H208" s="129"/>
      <c r="I208" s="129"/>
      <c r="J208" s="129"/>
      <c r="K208" s="129"/>
      <c r="L208" s="280"/>
    </row>
    <row r="209" spans="3:12" ht="15.75" x14ac:dyDescent="0.25">
      <c r="C209" s="278" t="s">
        <v>154</v>
      </c>
      <c r="D209" s="1159" t="s">
        <v>590</v>
      </c>
      <c r="E209" s="1159"/>
      <c r="F209" s="1159"/>
      <c r="G209" s="1159"/>
      <c r="H209" s="1159"/>
      <c r="I209" s="1159"/>
      <c r="J209" s="1159"/>
      <c r="K209" s="8" t="s">
        <v>7</v>
      </c>
      <c r="L209" s="188">
        <v>1</v>
      </c>
    </row>
    <row r="210" spans="3:12" x14ac:dyDescent="0.25">
      <c r="C210" s="178"/>
      <c r="D210" s="129"/>
      <c r="E210" s="129"/>
      <c r="F210" s="129"/>
      <c r="G210" s="129"/>
      <c r="H210" s="129"/>
      <c r="I210" s="129"/>
      <c r="J210" s="129"/>
      <c r="K210" s="129"/>
      <c r="L210" s="280"/>
    </row>
    <row r="211" spans="3:12" ht="15.75" x14ac:dyDescent="0.25">
      <c r="C211" s="278" t="s">
        <v>591</v>
      </c>
      <c r="D211" s="1159" t="s">
        <v>592</v>
      </c>
      <c r="E211" s="1159"/>
      <c r="F211" s="1159"/>
      <c r="G211" s="1159"/>
      <c r="H211" s="1159"/>
      <c r="I211" s="1159"/>
      <c r="J211" s="1159"/>
      <c r="K211" s="8" t="s">
        <v>7</v>
      </c>
      <c r="L211" s="188">
        <v>2</v>
      </c>
    </row>
    <row r="212" spans="3:12" x14ac:dyDescent="0.25">
      <c r="C212" s="178"/>
      <c r="D212" s="129"/>
      <c r="E212" s="129"/>
      <c r="F212" s="129"/>
      <c r="G212" s="129"/>
      <c r="H212" s="129"/>
      <c r="I212" s="129"/>
      <c r="J212" s="129"/>
      <c r="K212" s="129"/>
      <c r="L212" s="280"/>
    </row>
    <row r="213" spans="3:12" ht="15.75" x14ac:dyDescent="0.25">
      <c r="C213" s="278" t="s">
        <v>225</v>
      </c>
      <c r="D213" s="1159" t="s">
        <v>226</v>
      </c>
      <c r="E213" s="1159"/>
      <c r="F213" s="1159"/>
      <c r="G213" s="1159"/>
      <c r="H213" s="1159"/>
      <c r="I213" s="1159"/>
      <c r="J213" s="1159"/>
      <c r="K213" s="8" t="s">
        <v>7</v>
      </c>
      <c r="L213" s="195">
        <v>14</v>
      </c>
    </row>
    <row r="214" spans="3:12" x14ac:dyDescent="0.25">
      <c r="C214" s="178"/>
      <c r="D214" s="129"/>
      <c r="E214" s="129"/>
      <c r="F214" s="129"/>
      <c r="G214" s="129"/>
      <c r="H214" s="129"/>
      <c r="I214" s="129"/>
      <c r="J214" s="129"/>
      <c r="K214" s="129"/>
      <c r="L214" s="215"/>
    </row>
    <row r="215" spans="3:12" ht="15.75" x14ac:dyDescent="0.25">
      <c r="C215" s="278" t="s">
        <v>479</v>
      </c>
      <c r="D215" s="1159" t="s">
        <v>480</v>
      </c>
      <c r="E215" s="1159"/>
      <c r="F215" s="1159"/>
      <c r="G215" s="1159"/>
      <c r="H215" s="1159"/>
      <c r="I215" s="1159"/>
      <c r="J215" s="1159"/>
      <c r="K215" s="8" t="s">
        <v>42</v>
      </c>
      <c r="L215" s="245">
        <f>F218</f>
        <v>12</v>
      </c>
    </row>
    <row r="216" spans="3:12" x14ac:dyDescent="0.25">
      <c r="C216" s="178"/>
      <c r="D216" s="129"/>
      <c r="E216" s="129"/>
      <c r="F216" s="129"/>
      <c r="G216" s="129"/>
      <c r="H216" s="129"/>
      <c r="I216" s="129"/>
      <c r="J216" s="129"/>
      <c r="K216" s="129"/>
      <c r="L216" s="215"/>
    </row>
    <row r="217" spans="3:12" x14ac:dyDescent="0.25">
      <c r="C217" s="178"/>
      <c r="D217" s="579" t="s">
        <v>604</v>
      </c>
      <c r="E217" s="579" t="s">
        <v>42</v>
      </c>
      <c r="F217" s="578" t="s">
        <v>77</v>
      </c>
      <c r="G217" s="129"/>
      <c r="H217" s="129"/>
      <c r="I217" s="129"/>
      <c r="J217" s="129"/>
      <c r="K217" s="129"/>
      <c r="L217" s="215"/>
    </row>
    <row r="218" spans="3:12" x14ac:dyDescent="0.25">
      <c r="C218" s="178"/>
      <c r="D218" s="108">
        <v>1</v>
      </c>
      <c r="E218" s="108">
        <v>12</v>
      </c>
      <c r="F218" s="68">
        <f>D218*E218</f>
        <v>12</v>
      </c>
      <c r="G218" s="129"/>
      <c r="H218" s="129"/>
      <c r="I218" s="129"/>
      <c r="J218" s="129"/>
      <c r="K218" s="129"/>
      <c r="L218" s="215"/>
    </row>
    <row r="219" spans="3:12" x14ac:dyDescent="0.25">
      <c r="C219" s="178"/>
      <c r="D219" s="129"/>
      <c r="E219" s="129"/>
      <c r="F219" s="129"/>
      <c r="G219" s="129"/>
      <c r="H219" s="129"/>
      <c r="I219" s="129"/>
      <c r="J219" s="129"/>
      <c r="K219" s="129"/>
      <c r="L219" s="215"/>
    </row>
    <row r="220" spans="3:12" x14ac:dyDescent="0.25">
      <c r="C220" s="178"/>
      <c r="D220" s="129"/>
      <c r="E220" s="129"/>
      <c r="F220" s="129"/>
      <c r="G220" s="129"/>
      <c r="H220" s="129"/>
      <c r="I220" s="129"/>
      <c r="J220" s="129"/>
      <c r="K220" s="129"/>
      <c r="L220" s="215"/>
    </row>
    <row r="221" spans="3:12" x14ac:dyDescent="0.25">
      <c r="C221" s="178"/>
      <c r="D221" s="129"/>
      <c r="E221" s="129"/>
      <c r="F221" s="129"/>
      <c r="G221" s="129"/>
      <c r="H221" s="129"/>
      <c r="I221" s="129"/>
      <c r="J221" s="129"/>
      <c r="K221" s="129"/>
      <c r="L221" s="215"/>
    </row>
    <row r="222" spans="3:12" x14ac:dyDescent="0.25">
      <c r="C222" s="177"/>
      <c r="D222" s="136"/>
      <c r="E222" s="136"/>
      <c r="F222" s="136"/>
      <c r="G222" s="136"/>
      <c r="H222" s="136"/>
      <c r="I222" s="136"/>
      <c r="J222" s="136"/>
      <c r="K222" s="136"/>
      <c r="L222" s="270"/>
    </row>
    <row r="223" spans="3:12" ht="15.75" x14ac:dyDescent="0.25">
      <c r="C223" s="559" t="s">
        <v>718</v>
      </c>
      <c r="D223" s="1157" t="s">
        <v>719</v>
      </c>
      <c r="E223" s="1157"/>
      <c r="F223" s="1157"/>
      <c r="G223" s="1157"/>
      <c r="H223" s="1157"/>
      <c r="I223" s="1157"/>
      <c r="J223" s="1157"/>
      <c r="K223" s="520" t="s">
        <v>5</v>
      </c>
      <c r="L223" s="568">
        <f>E229</f>
        <v>13.200000000000001</v>
      </c>
    </row>
    <row r="224" spans="3:12" x14ac:dyDescent="0.25">
      <c r="C224" s="567" t="s">
        <v>735</v>
      </c>
      <c r="D224" s="39"/>
      <c r="E224" s="39"/>
      <c r="F224" s="25"/>
      <c r="G224" s="25"/>
      <c r="H224" s="25"/>
      <c r="I224" s="25"/>
      <c r="J224" s="25"/>
      <c r="K224" s="25"/>
      <c r="L224" s="169"/>
    </row>
    <row r="225" spans="3:15" x14ac:dyDescent="0.25">
      <c r="C225" s="180"/>
      <c r="D225" s="529" t="s">
        <v>106</v>
      </c>
      <c r="E225" s="529" t="s">
        <v>5</v>
      </c>
      <c r="F225" s="36"/>
      <c r="G225" s="24"/>
      <c r="H225" s="24"/>
      <c r="I225" s="24"/>
      <c r="J225" s="24"/>
      <c r="K225" s="24"/>
      <c r="L225" s="170"/>
    </row>
    <row r="226" spans="3:15" x14ac:dyDescent="0.25">
      <c r="C226" s="180"/>
      <c r="D226" s="555" t="s">
        <v>733</v>
      </c>
      <c r="E226" s="94">
        <f>2*1.1</f>
        <v>2.2000000000000002</v>
      </c>
      <c r="F226" s="36"/>
      <c r="G226" s="24"/>
      <c r="H226" s="24"/>
      <c r="I226" s="24"/>
      <c r="J226" s="24"/>
      <c r="K226" s="24"/>
      <c r="L226" s="170"/>
    </row>
    <row r="227" spans="3:15" x14ac:dyDescent="0.25">
      <c r="C227" s="180"/>
      <c r="D227" s="555" t="s">
        <v>734</v>
      </c>
      <c r="E227" s="94">
        <f>2*1.1</f>
        <v>2.2000000000000002</v>
      </c>
      <c r="F227" s="36"/>
      <c r="G227" s="24"/>
      <c r="H227" s="24"/>
      <c r="I227" s="24"/>
      <c r="J227" s="24"/>
      <c r="K227" s="24"/>
      <c r="L227" s="170"/>
    </row>
    <row r="228" spans="3:15" x14ac:dyDescent="0.25">
      <c r="C228" s="180"/>
      <c r="D228" s="555" t="s">
        <v>381</v>
      </c>
      <c r="E228" s="94">
        <f>8*1.1</f>
        <v>8.8000000000000007</v>
      </c>
      <c r="F228" s="36"/>
      <c r="G228" s="24"/>
      <c r="H228" s="24"/>
      <c r="I228" s="24"/>
      <c r="J228" s="24"/>
      <c r="K228" s="24"/>
      <c r="L228" s="170"/>
    </row>
    <row r="229" spans="3:15" x14ac:dyDescent="0.25">
      <c r="C229" s="180"/>
      <c r="D229" s="529" t="s">
        <v>217</v>
      </c>
      <c r="E229" s="94">
        <f>SUM(E226:E228)</f>
        <v>13.200000000000001</v>
      </c>
      <c r="F229" s="36"/>
      <c r="G229" s="24"/>
      <c r="H229" s="24"/>
      <c r="I229" s="24"/>
      <c r="J229" s="24"/>
      <c r="K229" s="24"/>
      <c r="L229" s="170"/>
    </row>
    <row r="230" spans="3:15" x14ac:dyDescent="0.25">
      <c r="C230" s="179"/>
      <c r="D230" s="25"/>
      <c r="E230" s="25"/>
      <c r="F230" s="24"/>
      <c r="G230" s="24"/>
      <c r="H230" s="24"/>
      <c r="I230" s="24"/>
      <c r="J230" s="24"/>
      <c r="K230" s="24"/>
      <c r="L230" s="170"/>
    </row>
    <row r="231" spans="3:15" x14ac:dyDescent="0.25">
      <c r="C231" s="179"/>
      <c r="D231" s="24"/>
      <c r="E231" s="24"/>
      <c r="F231" s="24"/>
      <c r="G231" s="24"/>
      <c r="H231" s="24"/>
      <c r="I231" s="24"/>
      <c r="J231" s="24"/>
      <c r="K231" s="24"/>
      <c r="L231" s="170"/>
    </row>
    <row r="232" spans="3:15" x14ac:dyDescent="0.25">
      <c r="C232" s="299"/>
      <c r="D232" s="47"/>
      <c r="E232" s="47"/>
      <c r="F232" s="47"/>
      <c r="G232" s="47"/>
      <c r="H232" s="47"/>
      <c r="I232" s="47"/>
      <c r="J232" s="47"/>
      <c r="K232" s="47"/>
      <c r="L232" s="171"/>
    </row>
    <row r="233" spans="3:15" ht="14.45" customHeight="1" x14ac:dyDescent="0.25">
      <c r="C233" s="559" t="s">
        <v>742</v>
      </c>
      <c r="D233" s="1155" t="s">
        <v>743</v>
      </c>
      <c r="E233" s="1156"/>
      <c r="F233" s="1156"/>
      <c r="G233" s="1156"/>
      <c r="H233" s="1156"/>
      <c r="I233" s="1156"/>
      <c r="J233" s="1156"/>
      <c r="K233" s="520" t="s">
        <v>5</v>
      </c>
      <c r="L233" s="671">
        <f>E239</f>
        <v>13.200000000000001</v>
      </c>
      <c r="M233" s="604"/>
      <c r="N233" s="662"/>
      <c r="O233" s="663"/>
    </row>
    <row r="234" spans="3:15" ht="14.45" customHeight="1" x14ac:dyDescent="0.25">
      <c r="C234" s="672"/>
      <c r="D234" s="670"/>
      <c r="E234" s="670"/>
      <c r="F234" s="665"/>
      <c r="G234" s="665"/>
      <c r="H234" s="665"/>
      <c r="I234" s="665"/>
      <c r="J234" s="665"/>
      <c r="K234" s="665"/>
      <c r="L234" s="673"/>
      <c r="M234" s="604"/>
      <c r="N234" s="662"/>
      <c r="O234" s="663"/>
    </row>
    <row r="235" spans="3:15" ht="14.45" customHeight="1" x14ac:dyDescent="0.25">
      <c r="C235" s="674"/>
      <c r="D235" s="529" t="s">
        <v>106</v>
      </c>
      <c r="E235" s="529" t="s">
        <v>5</v>
      </c>
      <c r="F235" s="668"/>
      <c r="G235" s="665"/>
      <c r="H235" s="665"/>
      <c r="I235" s="665"/>
      <c r="J235" s="665"/>
      <c r="K235" s="665"/>
      <c r="L235" s="673"/>
      <c r="M235" s="604"/>
      <c r="N235" s="662"/>
      <c r="O235" s="663"/>
    </row>
    <row r="236" spans="3:15" ht="14.45" customHeight="1" x14ac:dyDescent="0.25">
      <c r="C236" s="674"/>
      <c r="D236" s="555" t="s">
        <v>733</v>
      </c>
      <c r="E236" s="94">
        <f>2*1.1</f>
        <v>2.2000000000000002</v>
      </c>
      <c r="F236" s="668"/>
      <c r="G236" s="665"/>
      <c r="H236" s="665"/>
      <c r="I236" s="665"/>
      <c r="J236" s="665"/>
      <c r="K236" s="665"/>
      <c r="L236" s="673"/>
      <c r="M236" s="604"/>
      <c r="N236" s="662"/>
      <c r="O236" s="663"/>
    </row>
    <row r="237" spans="3:15" ht="14.45" customHeight="1" x14ac:dyDescent="0.25">
      <c r="C237" s="674"/>
      <c r="D237" s="555" t="s">
        <v>734</v>
      </c>
      <c r="E237" s="94">
        <f>2*1.1</f>
        <v>2.2000000000000002</v>
      </c>
      <c r="F237" s="668"/>
      <c r="G237" s="665"/>
      <c r="H237" s="665"/>
      <c r="I237" s="665"/>
      <c r="J237" s="665"/>
      <c r="K237" s="665"/>
      <c r="L237" s="673"/>
      <c r="M237" s="604"/>
      <c r="N237" s="662"/>
      <c r="O237" s="663"/>
    </row>
    <row r="238" spans="3:15" ht="14.45" customHeight="1" x14ac:dyDescent="0.25">
      <c r="C238" s="675"/>
      <c r="D238" s="555" t="s">
        <v>381</v>
      </c>
      <c r="E238" s="94">
        <f>8*1.1</f>
        <v>8.8000000000000007</v>
      </c>
      <c r="F238" s="669"/>
      <c r="G238" s="664"/>
      <c r="H238" s="664"/>
      <c r="I238" s="664"/>
      <c r="J238" s="664"/>
      <c r="K238" s="664"/>
      <c r="L238" s="676"/>
      <c r="M238" s="604"/>
      <c r="N238" s="662"/>
      <c r="O238" s="663"/>
    </row>
    <row r="239" spans="3:15" ht="14.45" customHeight="1" x14ac:dyDescent="0.25">
      <c r="C239" s="675"/>
      <c r="D239" s="529" t="s">
        <v>217</v>
      </c>
      <c r="E239" s="94">
        <f>SUM(E236:E238)</f>
        <v>13.200000000000001</v>
      </c>
      <c r="F239" s="669"/>
      <c r="G239" s="664"/>
      <c r="H239" s="664"/>
      <c r="I239" s="664"/>
      <c r="J239" s="664"/>
      <c r="K239" s="664"/>
      <c r="L239" s="676"/>
      <c r="M239" s="604"/>
      <c r="N239" s="662"/>
      <c r="O239" s="663"/>
    </row>
    <row r="240" spans="3:15" ht="14.45" customHeight="1" x14ac:dyDescent="0.25">
      <c r="C240" s="677"/>
      <c r="D240" s="665"/>
      <c r="E240" s="665"/>
      <c r="F240" s="664"/>
      <c r="G240" s="664"/>
      <c r="H240" s="664"/>
      <c r="I240" s="664"/>
      <c r="J240" s="664"/>
      <c r="K240" s="664"/>
      <c r="L240" s="676"/>
      <c r="M240" s="604"/>
      <c r="N240" s="662"/>
      <c r="O240" s="663"/>
    </row>
    <row r="241" spans="3:15" ht="14.45" customHeight="1" x14ac:dyDescent="0.25">
      <c r="C241" s="678"/>
      <c r="D241" s="666"/>
      <c r="E241" s="666"/>
      <c r="F241" s="666"/>
      <c r="G241" s="666"/>
      <c r="H241" s="666"/>
      <c r="I241" s="666"/>
      <c r="J241" s="666"/>
      <c r="K241" s="666"/>
      <c r="L241" s="679"/>
      <c r="M241" s="604"/>
      <c r="N241" s="662"/>
      <c r="O241" s="663"/>
    </row>
    <row r="242" spans="3:15" x14ac:dyDescent="0.25">
      <c r="C242" s="559" t="s">
        <v>716</v>
      </c>
      <c r="D242" s="1087" t="s">
        <v>717</v>
      </c>
      <c r="E242" s="1088"/>
      <c r="F242" s="1088"/>
      <c r="G242" s="1088"/>
      <c r="H242" s="1088"/>
      <c r="I242" s="1088"/>
      <c r="J242" s="1089"/>
      <c r="K242" s="520" t="s">
        <v>8</v>
      </c>
      <c r="L242" s="671">
        <f>E249</f>
        <v>10.299999999999999</v>
      </c>
      <c r="M242" s="604"/>
      <c r="N242" s="662"/>
      <c r="O242" s="663"/>
    </row>
    <row r="243" spans="3:15" x14ac:dyDescent="0.25">
      <c r="C243" s="189"/>
      <c r="D243" s="39"/>
      <c r="E243" s="39"/>
      <c r="F243" s="25"/>
      <c r="G243" s="25"/>
      <c r="H243" s="25"/>
      <c r="I243" s="25"/>
      <c r="J243" s="25"/>
      <c r="K243" s="25"/>
      <c r="L243" s="169"/>
    </row>
    <row r="244" spans="3:15" ht="15.75" x14ac:dyDescent="0.25">
      <c r="C244" s="180"/>
      <c r="D244" s="588" t="s">
        <v>106</v>
      </c>
      <c r="E244" s="562" t="s">
        <v>8</v>
      </c>
      <c r="F244" s="36"/>
      <c r="G244" s="47"/>
      <c r="H244" s="24"/>
      <c r="I244" s="24"/>
      <c r="J244" s="24"/>
      <c r="K244" s="24"/>
      <c r="L244" s="170"/>
    </row>
    <row r="245" spans="3:15" ht="15.75" x14ac:dyDescent="0.25">
      <c r="C245" s="180"/>
      <c r="D245" s="563" t="s">
        <v>781</v>
      </c>
      <c r="E245" s="564">
        <v>2.65</v>
      </c>
      <c r="F245" s="36"/>
      <c r="G245" s="614"/>
      <c r="H245" s="24"/>
      <c r="I245" s="24"/>
      <c r="J245" s="24"/>
      <c r="K245" s="24"/>
      <c r="L245" s="170"/>
    </row>
    <row r="246" spans="3:15" ht="15.75" x14ac:dyDescent="0.25">
      <c r="C246" s="180"/>
      <c r="D246" s="563" t="s">
        <v>130</v>
      </c>
      <c r="E246" s="564">
        <v>2.5499999999999998</v>
      </c>
      <c r="F246" s="36"/>
      <c r="G246" s="24"/>
      <c r="H246" s="24"/>
      <c r="I246" s="24"/>
      <c r="J246" s="24"/>
      <c r="K246" s="24"/>
      <c r="L246" s="170"/>
    </row>
    <row r="247" spans="3:15" ht="15.75" x14ac:dyDescent="0.25">
      <c r="C247" s="180"/>
      <c r="D247" s="563" t="s">
        <v>131</v>
      </c>
      <c r="E247" s="564">
        <v>2.5499999999999998</v>
      </c>
      <c r="F247" s="36"/>
      <c r="G247" s="24"/>
      <c r="H247" s="24"/>
      <c r="I247" s="24"/>
      <c r="J247" s="24"/>
      <c r="K247" s="24"/>
      <c r="L247" s="170"/>
    </row>
    <row r="248" spans="3:15" ht="15.75" x14ac:dyDescent="0.25">
      <c r="C248" s="680"/>
      <c r="D248" s="563" t="s">
        <v>132</v>
      </c>
      <c r="E248" s="564">
        <v>2.5499999999999998</v>
      </c>
      <c r="F248" s="667"/>
      <c r="G248" s="47"/>
      <c r="H248" s="47"/>
      <c r="I248" s="47"/>
      <c r="J248" s="47"/>
      <c r="K248" s="47"/>
      <c r="L248" s="171"/>
    </row>
    <row r="249" spans="3:15" ht="15.75" x14ac:dyDescent="0.25">
      <c r="C249" s="680"/>
      <c r="D249" s="563" t="s">
        <v>721</v>
      </c>
      <c r="E249" s="564">
        <f>SUM(E245:E248)</f>
        <v>10.299999999999999</v>
      </c>
      <c r="F249" s="667"/>
      <c r="G249" s="47"/>
      <c r="H249" s="47"/>
      <c r="I249" s="47"/>
      <c r="J249" s="47"/>
      <c r="K249" s="47"/>
      <c r="L249" s="171"/>
    </row>
    <row r="250" spans="3:15" x14ac:dyDescent="0.25">
      <c r="C250" s="179"/>
      <c r="D250" s="25"/>
      <c r="E250" s="25"/>
      <c r="F250" s="24"/>
      <c r="G250" s="24"/>
      <c r="H250" s="24"/>
      <c r="I250" s="24"/>
      <c r="J250" s="24"/>
      <c r="K250" s="24"/>
      <c r="L250" s="170"/>
    </row>
    <row r="251" spans="3:15" ht="15.75" thickBot="1" x14ac:dyDescent="0.3">
      <c r="C251" s="181"/>
      <c r="D251" s="182"/>
      <c r="E251" s="182"/>
      <c r="F251" s="182"/>
      <c r="G251" s="182"/>
      <c r="H251" s="182"/>
      <c r="I251" s="182"/>
      <c r="J251" s="182"/>
      <c r="K251" s="182"/>
      <c r="L251" s="183"/>
    </row>
    <row r="252" spans="3:15" x14ac:dyDescent="0.25">
      <c r="C252" s="25"/>
      <c r="D252" s="25"/>
      <c r="E252" s="25"/>
      <c r="F252" s="25"/>
      <c r="G252" s="25"/>
      <c r="H252" s="25"/>
      <c r="I252" s="25"/>
      <c r="J252" s="25"/>
      <c r="K252" s="25"/>
      <c r="L252" s="25"/>
    </row>
    <row r="253" spans="3:15" x14ac:dyDescent="0.25">
      <c r="C253" s="24"/>
      <c r="D253" s="24"/>
      <c r="E253" s="24"/>
      <c r="F253" s="24"/>
      <c r="G253" s="24"/>
      <c r="H253" s="24"/>
      <c r="I253" s="24"/>
      <c r="J253" s="24"/>
      <c r="K253" s="24"/>
      <c r="L253" s="24"/>
    </row>
    <row r="254" spans="3:15" x14ac:dyDescent="0.25">
      <c r="C254" s="24"/>
      <c r="D254" s="24"/>
      <c r="E254" s="24"/>
      <c r="F254" s="24"/>
      <c r="G254" s="24"/>
      <c r="H254" s="24"/>
      <c r="I254" s="24"/>
      <c r="J254" s="24"/>
      <c r="K254" s="24"/>
      <c r="L254" s="24"/>
    </row>
  </sheetData>
  <mergeCells count="52">
    <mergeCell ref="D2:I2"/>
    <mergeCell ref="C3:L3"/>
    <mergeCell ref="E36:F36"/>
    <mergeCell ref="D38:J38"/>
    <mergeCell ref="D45:J45"/>
    <mergeCell ref="E60:F60"/>
    <mergeCell ref="D62:J62"/>
    <mergeCell ref="D79:J79"/>
    <mergeCell ref="D84:J84"/>
    <mergeCell ref="D89:J89"/>
    <mergeCell ref="D100:J100"/>
    <mergeCell ref="D4:J4"/>
    <mergeCell ref="E19:F19"/>
    <mergeCell ref="D21:J21"/>
    <mergeCell ref="D215:J215"/>
    <mergeCell ref="D117:J117"/>
    <mergeCell ref="D121:J121"/>
    <mergeCell ref="D125:J125"/>
    <mergeCell ref="D129:J129"/>
    <mergeCell ref="D133:J133"/>
    <mergeCell ref="D137:J137"/>
    <mergeCell ref="D143:J143"/>
    <mergeCell ref="D157:J157"/>
    <mergeCell ref="D161:J161"/>
    <mergeCell ref="D199:J199"/>
    <mergeCell ref="D201:J201"/>
    <mergeCell ref="D203:J203"/>
    <mergeCell ref="D205:J205"/>
    <mergeCell ref="D207:J207"/>
    <mergeCell ref="D211:J211"/>
    <mergeCell ref="D189:J189"/>
    <mergeCell ref="D191:J191"/>
    <mergeCell ref="D193:J193"/>
    <mergeCell ref="D195:J195"/>
    <mergeCell ref="D197:J197"/>
    <mergeCell ref="D209:J209"/>
    <mergeCell ref="D233:J233"/>
    <mergeCell ref="D242:J242"/>
    <mergeCell ref="D223:J223"/>
    <mergeCell ref="E107:G107"/>
    <mergeCell ref="D109:J109"/>
    <mergeCell ref="D113:J113"/>
    <mergeCell ref="D174:D175"/>
    <mergeCell ref="D177:D178"/>
    <mergeCell ref="D165:J165"/>
    <mergeCell ref="D169:J169"/>
    <mergeCell ref="D213:J213"/>
    <mergeCell ref="D185:J185"/>
    <mergeCell ref="D187:J187"/>
    <mergeCell ref="D179:E179"/>
    <mergeCell ref="D181:J181"/>
    <mergeCell ref="D183:J183"/>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243"/>
  <sheetViews>
    <sheetView topLeftCell="A214" zoomScale="90" zoomScaleNormal="90" workbookViewId="0">
      <selection activeCell="D160" sqref="D160:J160"/>
    </sheetView>
  </sheetViews>
  <sheetFormatPr defaultRowHeight="15" x14ac:dyDescent="0.25"/>
  <cols>
    <col min="3" max="3" width="15.5703125" customWidth="1"/>
    <col min="4" max="4" width="33.5703125" bestFit="1" customWidth="1"/>
    <col min="5" max="5" width="18.7109375" customWidth="1"/>
    <col min="6" max="6" width="17.42578125" customWidth="1"/>
    <col min="7" max="7" width="21.5703125" customWidth="1"/>
    <col min="8" max="8" width="13.42578125" customWidth="1"/>
    <col min="9" max="9" width="14" customWidth="1"/>
    <col min="12" max="12" width="13.85546875" customWidth="1"/>
    <col min="13" max="13" width="11.7109375" bestFit="1" customWidth="1"/>
  </cols>
  <sheetData>
    <row r="1" spans="3:12" ht="15.75" thickBot="1" x14ac:dyDescent="0.3"/>
    <row r="2" spans="3:12" ht="16.5" thickBot="1" x14ac:dyDescent="0.3">
      <c r="C2" s="184" t="s">
        <v>1</v>
      </c>
      <c r="D2" s="1172" t="s">
        <v>2</v>
      </c>
      <c r="E2" s="1173"/>
      <c r="F2" s="1173"/>
      <c r="G2" s="1173"/>
      <c r="H2" s="1173"/>
      <c r="I2" s="1174"/>
      <c r="J2" s="589"/>
      <c r="K2" s="185" t="s">
        <v>3</v>
      </c>
      <c r="L2" s="186" t="s">
        <v>4</v>
      </c>
    </row>
    <row r="3" spans="3:12" ht="16.5" thickBot="1" x14ac:dyDescent="0.3">
      <c r="C3" s="1175" t="s">
        <v>76</v>
      </c>
      <c r="D3" s="1176"/>
      <c r="E3" s="1176"/>
      <c r="F3" s="1176"/>
      <c r="G3" s="1176"/>
      <c r="H3" s="1176"/>
      <c r="I3" s="1176"/>
      <c r="J3" s="1176"/>
      <c r="K3" s="1176"/>
      <c r="L3" s="1177"/>
    </row>
    <row r="4" spans="3:12" ht="15.75" x14ac:dyDescent="0.25">
      <c r="C4" s="297" t="s">
        <v>56</v>
      </c>
      <c r="D4" s="1178" t="s">
        <v>57</v>
      </c>
      <c r="E4" s="1178"/>
      <c r="F4" s="1178"/>
      <c r="G4" s="1178"/>
      <c r="H4" s="1178"/>
      <c r="I4" s="1178"/>
      <c r="J4" s="1178"/>
      <c r="K4" s="205" t="s">
        <v>5</v>
      </c>
      <c r="L4" s="298">
        <f>E20</f>
        <v>60.060000000000016</v>
      </c>
    </row>
    <row r="5" spans="3:12" x14ac:dyDescent="0.25">
      <c r="C5" s="189"/>
      <c r="D5" s="39"/>
      <c r="E5" s="39"/>
      <c r="F5" s="25"/>
      <c r="G5" s="25"/>
      <c r="H5" s="25"/>
      <c r="I5" s="25"/>
      <c r="J5" s="25"/>
      <c r="K5" s="25"/>
      <c r="L5" s="169"/>
    </row>
    <row r="6" spans="3:12" x14ac:dyDescent="0.25">
      <c r="C6" s="180"/>
      <c r="D6" s="578" t="s">
        <v>106</v>
      </c>
      <c r="E6" s="578" t="s">
        <v>155</v>
      </c>
      <c r="F6" s="36"/>
      <c r="G6" s="24"/>
      <c r="H6" s="24"/>
      <c r="I6" s="24"/>
      <c r="J6" s="24"/>
      <c r="K6" s="24"/>
      <c r="L6" s="170"/>
    </row>
    <row r="7" spans="3:12" x14ac:dyDescent="0.25">
      <c r="C7" s="180"/>
      <c r="D7" s="581" t="s">
        <v>120</v>
      </c>
      <c r="E7" s="72">
        <v>3.8</v>
      </c>
      <c r="F7" s="36"/>
      <c r="G7" s="24"/>
      <c r="H7" s="24"/>
      <c r="I7" s="24"/>
      <c r="J7" s="24"/>
      <c r="K7" s="24"/>
      <c r="L7" s="170"/>
    </row>
    <row r="8" spans="3:12" x14ac:dyDescent="0.25">
      <c r="C8" s="180"/>
      <c r="D8" s="581" t="s">
        <v>101</v>
      </c>
      <c r="E8" s="72">
        <v>2.8</v>
      </c>
      <c r="F8" s="36"/>
      <c r="G8" s="24"/>
      <c r="H8" s="24"/>
      <c r="I8" s="24"/>
      <c r="J8" s="24"/>
      <c r="K8" s="24"/>
      <c r="L8" s="170"/>
    </row>
    <row r="9" spans="3:12" x14ac:dyDescent="0.25">
      <c r="C9" s="180"/>
      <c r="D9" s="581" t="s">
        <v>176</v>
      </c>
      <c r="E9" s="72">
        <v>3.38</v>
      </c>
      <c r="F9" s="36"/>
      <c r="G9" s="24"/>
      <c r="H9" s="24"/>
      <c r="I9" s="24"/>
      <c r="J9" s="24"/>
      <c r="K9" s="24"/>
      <c r="L9" s="170"/>
    </row>
    <row r="10" spans="3:12" x14ac:dyDescent="0.25">
      <c r="C10" s="180"/>
      <c r="D10" s="581" t="s">
        <v>177</v>
      </c>
      <c r="E10" s="72">
        <v>5.59</v>
      </c>
      <c r="F10" s="36"/>
      <c r="G10" s="24"/>
      <c r="H10" s="24"/>
      <c r="I10" s="24"/>
      <c r="J10" s="24"/>
      <c r="K10" s="24"/>
      <c r="L10" s="170"/>
    </row>
    <row r="11" spans="3:12" x14ac:dyDescent="0.25">
      <c r="C11" s="180"/>
      <c r="D11" s="581" t="s">
        <v>108</v>
      </c>
      <c r="E11" s="72">
        <v>5.59</v>
      </c>
      <c r="F11" s="36"/>
      <c r="G11" s="24"/>
      <c r="H11" s="24"/>
      <c r="I11" s="24"/>
      <c r="J11" s="24"/>
      <c r="K11" s="24"/>
      <c r="L11" s="170"/>
    </row>
    <row r="12" spans="3:12" x14ac:dyDescent="0.25">
      <c r="C12" s="180"/>
      <c r="D12" s="581" t="s">
        <v>174</v>
      </c>
      <c r="E12" s="72">
        <v>2.68</v>
      </c>
      <c r="F12" s="36"/>
      <c r="G12" s="24"/>
      <c r="H12" s="24"/>
      <c r="I12" s="24"/>
      <c r="J12" s="24"/>
      <c r="K12" s="24"/>
      <c r="L12" s="170"/>
    </row>
    <row r="13" spans="3:12" x14ac:dyDescent="0.25">
      <c r="C13" s="180"/>
      <c r="D13" s="581" t="s">
        <v>175</v>
      </c>
      <c r="E13" s="72">
        <v>2.68</v>
      </c>
      <c r="F13" s="36"/>
      <c r="G13" s="24"/>
      <c r="H13" s="24"/>
      <c r="I13" s="24"/>
      <c r="J13" s="24"/>
      <c r="K13" s="24"/>
      <c r="L13" s="170"/>
    </row>
    <row r="14" spans="3:12" x14ac:dyDescent="0.25">
      <c r="C14" s="180"/>
      <c r="D14" s="581" t="s">
        <v>108</v>
      </c>
      <c r="E14" s="72">
        <v>5.59</v>
      </c>
      <c r="F14" s="36"/>
      <c r="G14" s="24"/>
      <c r="H14" s="24"/>
      <c r="I14" s="24"/>
      <c r="J14" s="24"/>
      <c r="K14" s="24"/>
      <c r="L14" s="170"/>
    </row>
    <row r="15" spans="3:12" x14ac:dyDescent="0.25">
      <c r="C15" s="180"/>
      <c r="D15" s="581" t="s">
        <v>108</v>
      </c>
      <c r="E15" s="72">
        <v>5.59</v>
      </c>
      <c r="F15" s="36"/>
      <c r="G15" s="24"/>
      <c r="H15" s="24"/>
      <c r="I15" s="24"/>
      <c r="J15" s="24"/>
      <c r="K15" s="24"/>
      <c r="L15" s="170"/>
    </row>
    <row r="16" spans="3:12" x14ac:dyDescent="0.25">
      <c r="C16" s="180"/>
      <c r="D16" s="581" t="s">
        <v>108</v>
      </c>
      <c r="E16" s="72">
        <v>5.59</v>
      </c>
      <c r="F16" s="36"/>
      <c r="G16" s="24"/>
      <c r="H16" s="24"/>
      <c r="I16" s="24"/>
      <c r="J16" s="24"/>
      <c r="K16" s="24"/>
      <c r="L16" s="170"/>
    </row>
    <row r="17" spans="3:12" x14ac:dyDescent="0.25">
      <c r="C17" s="180"/>
      <c r="D17" s="581" t="s">
        <v>108</v>
      </c>
      <c r="E17" s="72">
        <v>5.59</v>
      </c>
      <c r="F17" s="36"/>
      <c r="G17" s="24"/>
      <c r="H17" s="24"/>
      <c r="I17" s="24"/>
      <c r="J17" s="24"/>
      <c r="K17" s="24"/>
      <c r="L17" s="170"/>
    </row>
    <row r="18" spans="3:12" x14ac:dyDescent="0.25">
      <c r="C18" s="180"/>
      <c r="D18" s="581" t="s">
        <v>108</v>
      </c>
      <c r="E18" s="72">
        <v>5.59</v>
      </c>
      <c r="F18" s="36"/>
      <c r="G18" s="24"/>
      <c r="H18" s="24"/>
      <c r="I18" s="24"/>
      <c r="J18" s="24"/>
      <c r="K18" s="24"/>
      <c r="L18" s="170"/>
    </row>
    <row r="19" spans="3:12" x14ac:dyDescent="0.25">
      <c r="C19" s="180"/>
      <c r="D19" s="581" t="s">
        <v>108</v>
      </c>
      <c r="E19" s="72">
        <v>5.59</v>
      </c>
      <c r="F19" s="36"/>
      <c r="G19" s="24"/>
      <c r="H19" s="24"/>
      <c r="I19" s="24"/>
      <c r="J19" s="24"/>
      <c r="K19" s="24"/>
      <c r="L19" s="170"/>
    </row>
    <row r="20" spans="3:12" x14ac:dyDescent="0.25">
      <c r="C20" s="180"/>
      <c r="D20" s="578" t="s">
        <v>217</v>
      </c>
      <c r="E20" s="72">
        <f>SUM(E7:E19)</f>
        <v>60.060000000000016</v>
      </c>
      <c r="F20" s="36"/>
      <c r="G20" s="24"/>
      <c r="H20" s="24"/>
      <c r="I20" s="24"/>
      <c r="J20" s="24"/>
      <c r="K20" s="24"/>
      <c r="L20" s="170"/>
    </row>
    <row r="21" spans="3:12" x14ac:dyDescent="0.25">
      <c r="C21" s="299"/>
      <c r="D21" s="39"/>
      <c r="E21" s="39"/>
      <c r="F21" s="47"/>
      <c r="G21" s="47"/>
      <c r="H21" s="47"/>
      <c r="I21" s="47"/>
      <c r="J21" s="47"/>
      <c r="K21" s="47"/>
      <c r="L21" s="171"/>
    </row>
    <row r="22" spans="3:12" x14ac:dyDescent="0.25">
      <c r="C22" s="300" t="s">
        <v>64</v>
      </c>
      <c r="D22" s="586" t="s">
        <v>65</v>
      </c>
      <c r="E22" s="586"/>
      <c r="F22" s="586"/>
      <c r="G22" s="586"/>
      <c r="H22" s="586"/>
      <c r="I22" s="586"/>
      <c r="J22" s="586"/>
      <c r="K22" s="120" t="s">
        <v>7</v>
      </c>
      <c r="L22" s="168">
        <f>E24</f>
        <v>1</v>
      </c>
    </row>
    <row r="23" spans="3:12" ht="15.75" x14ac:dyDescent="0.25">
      <c r="C23" s="301"/>
      <c r="D23" s="282"/>
      <c r="E23" s="282"/>
      <c r="F23" s="283"/>
      <c r="G23" s="283"/>
      <c r="H23" s="283"/>
      <c r="I23" s="283"/>
      <c r="J23" s="283"/>
      <c r="K23" s="284"/>
      <c r="L23" s="262"/>
    </row>
    <row r="24" spans="3:12" ht="15.75" x14ac:dyDescent="0.25">
      <c r="C24" s="302"/>
      <c r="D24" s="77" t="s">
        <v>101</v>
      </c>
      <c r="E24" s="78">
        <v>1</v>
      </c>
      <c r="F24" s="285"/>
      <c r="G24" s="286"/>
      <c r="H24" s="286"/>
      <c r="I24" s="286"/>
      <c r="J24" s="286"/>
      <c r="K24" s="287"/>
      <c r="L24" s="215"/>
    </row>
    <row r="25" spans="3:12" ht="15.75" x14ac:dyDescent="0.25">
      <c r="C25" s="303"/>
      <c r="D25" s="282"/>
      <c r="E25" s="282"/>
      <c r="F25" s="288"/>
      <c r="G25" s="288"/>
      <c r="H25" s="288"/>
      <c r="I25" s="288"/>
      <c r="J25" s="288"/>
      <c r="K25" s="289"/>
      <c r="L25" s="270"/>
    </row>
    <row r="26" spans="3:12" x14ac:dyDescent="0.25">
      <c r="C26" s="300" t="s">
        <v>316</v>
      </c>
      <c r="D26" s="1169" t="s">
        <v>317</v>
      </c>
      <c r="E26" s="1170"/>
      <c r="F26" s="1170"/>
      <c r="G26" s="1170"/>
      <c r="H26" s="1170"/>
      <c r="I26" s="1170"/>
      <c r="J26" s="1171"/>
      <c r="K26" s="120" t="s">
        <v>8</v>
      </c>
      <c r="L26" s="168">
        <f>E28</f>
        <v>1</v>
      </c>
    </row>
    <row r="27" spans="3:12" x14ac:dyDescent="0.25">
      <c r="C27" s="175"/>
      <c r="D27" s="145"/>
      <c r="E27" s="145"/>
      <c r="F27" s="139"/>
      <c r="G27" s="139"/>
      <c r="H27" s="139"/>
      <c r="I27" s="139"/>
      <c r="J27" s="139"/>
      <c r="K27" s="154"/>
      <c r="L27" s="262"/>
    </row>
    <row r="28" spans="3:12" x14ac:dyDescent="0.25">
      <c r="C28" s="176"/>
      <c r="D28" s="67" t="s">
        <v>120</v>
      </c>
      <c r="E28" s="208">
        <v>1</v>
      </c>
      <c r="F28" s="155"/>
      <c r="G28" s="130"/>
      <c r="H28" s="130"/>
      <c r="I28" s="130"/>
      <c r="J28" s="130"/>
      <c r="K28" s="131"/>
      <c r="L28" s="215"/>
    </row>
    <row r="29" spans="3:12" x14ac:dyDescent="0.25">
      <c r="C29" s="177"/>
      <c r="D29" s="145"/>
      <c r="E29" s="145"/>
      <c r="F29" s="152"/>
      <c r="G29" s="152"/>
      <c r="H29" s="152"/>
      <c r="I29" s="152"/>
      <c r="J29" s="152"/>
      <c r="K29" s="153"/>
      <c r="L29" s="270"/>
    </row>
    <row r="30" spans="3:12" x14ac:dyDescent="0.25">
      <c r="C30" s="300" t="s">
        <v>73</v>
      </c>
      <c r="D30" s="1169" t="s">
        <v>74</v>
      </c>
      <c r="E30" s="1170"/>
      <c r="F30" s="1170"/>
      <c r="G30" s="1170"/>
      <c r="H30" s="1170"/>
      <c r="I30" s="1170"/>
      <c r="J30" s="1171"/>
      <c r="K30" s="120" t="s">
        <v>5</v>
      </c>
      <c r="L30" s="168">
        <f>E63</f>
        <v>585.16699999999992</v>
      </c>
    </row>
    <row r="31" spans="3:12" x14ac:dyDescent="0.25">
      <c r="C31" s="175"/>
      <c r="D31" s="146"/>
      <c r="E31" s="146"/>
      <c r="F31" s="138"/>
      <c r="G31" s="138"/>
      <c r="H31" s="138"/>
      <c r="I31" s="138"/>
      <c r="J31" s="138"/>
      <c r="K31" s="138"/>
      <c r="L31" s="262"/>
    </row>
    <row r="32" spans="3:12" x14ac:dyDescent="0.25">
      <c r="C32" s="176"/>
      <c r="D32" s="585" t="s">
        <v>106</v>
      </c>
      <c r="E32" s="585" t="s">
        <v>222</v>
      </c>
      <c r="F32" s="142"/>
      <c r="G32" s="129"/>
      <c r="H32" s="129"/>
      <c r="I32" s="129"/>
      <c r="J32" s="129"/>
      <c r="K32" s="129"/>
      <c r="L32" s="215"/>
    </row>
    <row r="33" spans="3:12" x14ac:dyDescent="0.25">
      <c r="C33" s="176"/>
      <c r="D33" s="581" t="s">
        <v>164</v>
      </c>
      <c r="E33" s="577">
        <v>20.079999999999998</v>
      </c>
      <c r="F33" s="142"/>
      <c r="G33" s="129"/>
      <c r="H33" s="129"/>
      <c r="I33" s="129"/>
      <c r="J33" s="129"/>
      <c r="K33" s="129"/>
      <c r="L33" s="215"/>
    </row>
    <row r="34" spans="3:12" x14ac:dyDescent="0.25">
      <c r="C34" s="176"/>
      <c r="D34" s="581" t="s">
        <v>165</v>
      </c>
      <c r="E34" s="577">
        <v>10.35</v>
      </c>
      <c r="F34" s="142"/>
      <c r="G34" s="129"/>
      <c r="H34" s="129"/>
      <c r="I34" s="129"/>
      <c r="J34" s="129"/>
      <c r="K34" s="129"/>
      <c r="L34" s="215"/>
    </row>
    <row r="35" spans="3:12" x14ac:dyDescent="0.25">
      <c r="C35" s="176"/>
      <c r="D35" s="581" t="s">
        <v>167</v>
      </c>
      <c r="E35" s="577">
        <v>10.35</v>
      </c>
      <c r="F35" s="142"/>
      <c r="G35" s="129"/>
      <c r="H35" s="129"/>
      <c r="I35" s="129"/>
      <c r="J35" s="129"/>
      <c r="K35" s="129"/>
      <c r="L35" s="215"/>
    </row>
    <row r="36" spans="3:12" x14ac:dyDescent="0.25">
      <c r="C36" s="176"/>
      <c r="D36" s="581" t="s">
        <v>166</v>
      </c>
      <c r="E36" s="577">
        <v>10.01</v>
      </c>
      <c r="F36" s="142"/>
      <c r="G36" s="129"/>
      <c r="H36" s="129"/>
      <c r="I36" s="129"/>
      <c r="J36" s="129"/>
      <c r="K36" s="129"/>
      <c r="L36" s="215"/>
    </row>
    <row r="37" spans="3:12" x14ac:dyDescent="0.25">
      <c r="C37" s="176"/>
      <c r="D37" s="581" t="s">
        <v>120</v>
      </c>
      <c r="E37" s="577">
        <v>3.8</v>
      </c>
      <c r="F37" s="142"/>
      <c r="G37" s="129"/>
      <c r="H37" s="129"/>
      <c r="I37" s="129"/>
      <c r="J37" s="129"/>
      <c r="K37" s="129"/>
      <c r="L37" s="215"/>
    </row>
    <row r="38" spans="3:12" x14ac:dyDescent="0.25">
      <c r="C38" s="176"/>
      <c r="D38" s="581" t="s">
        <v>101</v>
      </c>
      <c r="E38" s="577">
        <v>2.8</v>
      </c>
      <c r="F38" s="142"/>
      <c r="G38" s="129"/>
      <c r="H38" s="129"/>
      <c r="I38" s="129"/>
      <c r="J38" s="129"/>
      <c r="K38" s="129"/>
      <c r="L38" s="215"/>
    </row>
    <row r="39" spans="3:12" x14ac:dyDescent="0.25">
      <c r="C39" s="176"/>
      <c r="D39" s="581" t="s">
        <v>168</v>
      </c>
      <c r="E39" s="577">
        <v>11.31</v>
      </c>
      <c r="F39" s="142"/>
      <c r="G39" s="129"/>
      <c r="H39" s="129"/>
      <c r="I39" s="129"/>
      <c r="J39" s="129"/>
      <c r="K39" s="129"/>
      <c r="L39" s="215"/>
    </row>
    <row r="40" spans="3:12" x14ac:dyDescent="0.25">
      <c r="C40" s="176"/>
      <c r="D40" s="581" t="s">
        <v>169</v>
      </c>
      <c r="E40" s="577">
        <v>11.31</v>
      </c>
      <c r="F40" s="142"/>
      <c r="G40" s="129"/>
      <c r="H40" s="129"/>
      <c r="I40" s="129"/>
      <c r="J40" s="129"/>
      <c r="K40" s="129"/>
      <c r="L40" s="215"/>
    </row>
    <row r="41" spans="3:12" x14ac:dyDescent="0.25">
      <c r="C41" s="176"/>
      <c r="D41" s="581" t="s">
        <v>85</v>
      </c>
      <c r="E41" s="577">
        <v>118.21</v>
      </c>
      <c r="F41" s="142"/>
      <c r="G41" s="129"/>
      <c r="H41" s="129"/>
      <c r="I41" s="129"/>
      <c r="J41" s="129"/>
      <c r="K41" s="129"/>
      <c r="L41" s="215"/>
    </row>
    <row r="42" spans="3:12" x14ac:dyDescent="0.25">
      <c r="C42" s="176"/>
      <c r="D42" s="581" t="s">
        <v>170</v>
      </c>
      <c r="E42" s="577">
        <v>24.25</v>
      </c>
      <c r="F42" s="142"/>
      <c r="G42" s="129"/>
      <c r="H42" s="129"/>
      <c r="I42" s="129"/>
      <c r="J42" s="129"/>
      <c r="K42" s="129"/>
      <c r="L42" s="215"/>
    </row>
    <row r="43" spans="3:12" x14ac:dyDescent="0.25">
      <c r="C43" s="176"/>
      <c r="D43" s="581" t="s">
        <v>176</v>
      </c>
      <c r="E43" s="577">
        <v>3.38</v>
      </c>
      <c r="F43" s="142"/>
      <c r="G43" s="129"/>
      <c r="H43" s="129"/>
      <c r="I43" s="129"/>
      <c r="J43" s="129"/>
      <c r="K43" s="129"/>
      <c r="L43" s="215"/>
    </row>
    <row r="44" spans="3:12" x14ac:dyDescent="0.25">
      <c r="C44" s="176"/>
      <c r="D44" s="581" t="s">
        <v>171</v>
      </c>
      <c r="E44" s="577">
        <v>7.72</v>
      </c>
      <c r="F44" s="142"/>
      <c r="G44" s="129"/>
      <c r="H44" s="129"/>
      <c r="I44" s="129"/>
      <c r="J44" s="129"/>
      <c r="K44" s="129"/>
      <c r="L44" s="215"/>
    </row>
    <row r="45" spans="3:12" x14ac:dyDescent="0.25">
      <c r="C45" s="176"/>
      <c r="D45" s="581" t="s">
        <v>172</v>
      </c>
      <c r="E45" s="577">
        <v>7.72</v>
      </c>
      <c r="F45" s="142"/>
      <c r="G45" s="129"/>
      <c r="H45" s="129"/>
      <c r="I45" s="129"/>
      <c r="J45" s="129"/>
      <c r="K45" s="129"/>
      <c r="L45" s="215"/>
    </row>
    <row r="46" spans="3:12" x14ac:dyDescent="0.25">
      <c r="C46" s="176"/>
      <c r="D46" s="581" t="s">
        <v>177</v>
      </c>
      <c r="E46" s="577">
        <v>5.59</v>
      </c>
      <c r="F46" s="142"/>
      <c r="G46" s="129"/>
      <c r="H46" s="129"/>
      <c r="I46" s="129"/>
      <c r="J46" s="129"/>
      <c r="K46" s="129"/>
      <c r="L46" s="215"/>
    </row>
    <row r="47" spans="3:12" x14ac:dyDescent="0.25">
      <c r="C47" s="176"/>
      <c r="D47" s="581" t="s">
        <v>173</v>
      </c>
      <c r="E47" s="577">
        <v>86.49</v>
      </c>
      <c r="F47" s="142"/>
      <c r="G47" s="129"/>
      <c r="H47" s="129"/>
      <c r="I47" s="129"/>
      <c r="J47" s="129"/>
      <c r="K47" s="129"/>
      <c r="L47" s="215"/>
    </row>
    <row r="48" spans="3:12" x14ac:dyDescent="0.25">
      <c r="C48" s="176"/>
      <c r="D48" s="581" t="s">
        <v>108</v>
      </c>
      <c r="E48" s="577">
        <v>5.59</v>
      </c>
      <c r="F48" s="142"/>
      <c r="G48" s="129"/>
      <c r="H48" s="129"/>
      <c r="I48" s="129"/>
      <c r="J48" s="129"/>
      <c r="K48" s="129"/>
      <c r="L48" s="215"/>
    </row>
    <row r="49" spans="3:12" x14ac:dyDescent="0.25">
      <c r="C49" s="176"/>
      <c r="D49" s="581" t="s">
        <v>174</v>
      </c>
      <c r="E49" s="577">
        <v>2.68</v>
      </c>
      <c r="F49" s="142"/>
      <c r="G49" s="129"/>
      <c r="H49" s="129"/>
      <c r="I49" s="129"/>
      <c r="J49" s="129"/>
      <c r="K49" s="129"/>
      <c r="L49" s="215"/>
    </row>
    <row r="50" spans="3:12" x14ac:dyDescent="0.25">
      <c r="C50" s="176"/>
      <c r="D50" s="581" t="s">
        <v>175</v>
      </c>
      <c r="E50" s="577">
        <v>2.68</v>
      </c>
      <c r="F50" s="142"/>
      <c r="G50" s="129"/>
      <c r="H50" s="129"/>
      <c r="I50" s="129"/>
      <c r="J50" s="129"/>
      <c r="K50" s="129"/>
      <c r="L50" s="215"/>
    </row>
    <row r="51" spans="3:12" x14ac:dyDescent="0.25">
      <c r="C51" s="176"/>
      <c r="D51" s="581" t="s">
        <v>178</v>
      </c>
      <c r="E51" s="577">
        <v>34.549999999999997</v>
      </c>
      <c r="F51" s="142"/>
      <c r="G51" s="129"/>
      <c r="H51" s="129"/>
      <c r="I51" s="129"/>
      <c r="J51" s="129"/>
      <c r="K51" s="129"/>
      <c r="L51" s="215"/>
    </row>
    <row r="52" spans="3:12" x14ac:dyDescent="0.25">
      <c r="C52" s="176"/>
      <c r="D52" s="581" t="s">
        <v>108</v>
      </c>
      <c r="E52" s="577">
        <v>5.59</v>
      </c>
      <c r="F52" s="142"/>
      <c r="G52" s="129"/>
      <c r="H52" s="129"/>
      <c r="I52" s="129"/>
      <c r="J52" s="129"/>
      <c r="K52" s="129"/>
      <c r="L52" s="215"/>
    </row>
    <row r="53" spans="3:12" x14ac:dyDescent="0.25">
      <c r="C53" s="176"/>
      <c r="D53" s="581" t="s">
        <v>179</v>
      </c>
      <c r="E53" s="577">
        <v>34.557000000000002</v>
      </c>
      <c r="F53" s="142"/>
      <c r="G53" s="129"/>
      <c r="H53" s="129"/>
      <c r="I53" s="129"/>
      <c r="J53" s="129"/>
      <c r="K53" s="129"/>
      <c r="L53" s="215"/>
    </row>
    <row r="54" spans="3:12" x14ac:dyDescent="0.25">
      <c r="C54" s="176"/>
      <c r="D54" s="581" t="s">
        <v>108</v>
      </c>
      <c r="E54" s="577">
        <v>5.59</v>
      </c>
      <c r="F54" s="142"/>
      <c r="G54" s="129"/>
      <c r="H54" s="129"/>
      <c r="I54" s="129"/>
      <c r="J54" s="129"/>
      <c r="K54" s="129"/>
      <c r="L54" s="215"/>
    </row>
    <row r="55" spans="3:12" x14ac:dyDescent="0.25">
      <c r="C55" s="176"/>
      <c r="D55" s="581" t="s">
        <v>181</v>
      </c>
      <c r="E55" s="577">
        <v>34.549999999999997</v>
      </c>
      <c r="F55" s="142"/>
      <c r="G55" s="129"/>
      <c r="H55" s="129"/>
      <c r="I55" s="129"/>
      <c r="J55" s="129"/>
      <c r="K55" s="129"/>
      <c r="L55" s="215"/>
    </row>
    <row r="56" spans="3:12" x14ac:dyDescent="0.25">
      <c r="C56" s="176"/>
      <c r="D56" s="581" t="s">
        <v>108</v>
      </c>
      <c r="E56" s="577">
        <v>5.59</v>
      </c>
      <c r="F56" s="142"/>
      <c r="G56" s="129"/>
      <c r="H56" s="129"/>
      <c r="I56" s="129"/>
      <c r="J56" s="129"/>
      <c r="K56" s="129"/>
      <c r="L56" s="215"/>
    </row>
    <row r="57" spans="3:12" x14ac:dyDescent="0.25">
      <c r="C57" s="176"/>
      <c r="D57" s="581" t="s">
        <v>182</v>
      </c>
      <c r="E57" s="577">
        <v>34.549999999999997</v>
      </c>
      <c r="F57" s="142"/>
      <c r="G57" s="129"/>
      <c r="H57" s="129"/>
      <c r="I57" s="129"/>
      <c r="J57" s="129"/>
      <c r="K57" s="129"/>
      <c r="L57" s="215"/>
    </row>
    <row r="58" spans="3:12" x14ac:dyDescent="0.25">
      <c r="C58" s="176"/>
      <c r="D58" s="581" t="s">
        <v>108</v>
      </c>
      <c r="E58" s="577">
        <v>5.59</v>
      </c>
      <c r="F58" s="142"/>
      <c r="G58" s="129"/>
      <c r="H58" s="129"/>
      <c r="I58" s="129"/>
      <c r="J58" s="129"/>
      <c r="K58" s="129"/>
      <c r="L58" s="215"/>
    </row>
    <row r="59" spans="3:12" x14ac:dyDescent="0.25">
      <c r="C59" s="176"/>
      <c r="D59" s="581" t="s">
        <v>183</v>
      </c>
      <c r="E59" s="577">
        <v>34.549999999999997</v>
      </c>
      <c r="F59" s="142"/>
      <c r="G59" s="129"/>
      <c r="H59" s="129"/>
      <c r="I59" s="129"/>
      <c r="J59" s="129"/>
      <c r="K59" s="129"/>
      <c r="L59" s="215"/>
    </row>
    <row r="60" spans="3:12" x14ac:dyDescent="0.25">
      <c r="C60" s="176"/>
      <c r="D60" s="581" t="s">
        <v>108</v>
      </c>
      <c r="E60" s="577">
        <v>5.59</v>
      </c>
      <c r="F60" s="142"/>
      <c r="G60" s="129"/>
      <c r="H60" s="129"/>
      <c r="I60" s="129"/>
      <c r="J60" s="129"/>
      <c r="K60" s="129"/>
      <c r="L60" s="215"/>
    </row>
    <row r="61" spans="3:12" x14ac:dyDescent="0.25">
      <c r="C61" s="176"/>
      <c r="D61" s="581" t="s">
        <v>184</v>
      </c>
      <c r="E61" s="577">
        <v>34.549999999999997</v>
      </c>
      <c r="F61" s="142"/>
      <c r="G61" s="129"/>
      <c r="H61" s="129"/>
      <c r="I61" s="129"/>
      <c r="J61" s="129"/>
      <c r="K61" s="129"/>
      <c r="L61" s="215"/>
    </row>
    <row r="62" spans="3:12" x14ac:dyDescent="0.25">
      <c r="C62" s="176"/>
      <c r="D62" s="581" t="s">
        <v>108</v>
      </c>
      <c r="E62" s="577">
        <v>5.59</v>
      </c>
      <c r="F62" s="142"/>
      <c r="G62" s="129"/>
      <c r="H62" s="129"/>
      <c r="I62" s="129"/>
      <c r="J62" s="129"/>
      <c r="K62" s="129"/>
      <c r="L62" s="215"/>
    </row>
    <row r="63" spans="3:12" x14ac:dyDescent="0.25">
      <c r="C63" s="176"/>
      <c r="D63" s="585" t="s">
        <v>217</v>
      </c>
      <c r="E63" s="577">
        <f>SUM(E33:E62)</f>
        <v>585.16699999999992</v>
      </c>
      <c r="F63" s="142"/>
      <c r="G63" s="129"/>
      <c r="H63" s="129"/>
      <c r="I63" s="129"/>
      <c r="J63" s="129"/>
      <c r="K63" s="129"/>
      <c r="L63" s="215"/>
    </row>
    <row r="64" spans="3:12" x14ac:dyDescent="0.25">
      <c r="C64" s="177"/>
      <c r="D64" s="146"/>
      <c r="E64" s="146"/>
      <c r="F64" s="136"/>
      <c r="G64" s="136"/>
      <c r="H64" s="136"/>
      <c r="I64" s="136"/>
      <c r="J64" s="136"/>
      <c r="K64" s="136"/>
      <c r="L64" s="270"/>
    </row>
    <row r="65" spans="3:12" x14ac:dyDescent="0.25">
      <c r="C65" s="300" t="s">
        <v>163</v>
      </c>
      <c r="D65" s="1169" t="s">
        <v>162</v>
      </c>
      <c r="E65" s="1170"/>
      <c r="F65" s="1170"/>
      <c r="G65" s="1170"/>
      <c r="H65" s="1170"/>
      <c r="I65" s="1170"/>
      <c r="J65" s="1171"/>
      <c r="K65" s="120" t="s">
        <v>8</v>
      </c>
      <c r="L65" s="168">
        <f>K68</f>
        <v>52</v>
      </c>
    </row>
    <row r="66" spans="3:12" x14ac:dyDescent="0.25">
      <c r="C66" s="175"/>
      <c r="D66" s="145"/>
      <c r="E66" s="145"/>
      <c r="F66" s="145"/>
      <c r="G66" s="145"/>
      <c r="H66" s="145"/>
      <c r="I66" s="145"/>
      <c r="J66" s="139"/>
      <c r="K66" s="154"/>
      <c r="L66" s="262"/>
    </row>
    <row r="67" spans="3:12" x14ac:dyDescent="0.25">
      <c r="C67" s="176"/>
      <c r="D67" s="579" t="s">
        <v>244</v>
      </c>
      <c r="E67" s="579" t="s">
        <v>418</v>
      </c>
      <c r="F67" s="579" t="s">
        <v>419</v>
      </c>
      <c r="G67" s="579" t="s">
        <v>8</v>
      </c>
      <c r="H67" s="579" t="s">
        <v>418</v>
      </c>
      <c r="I67" s="579" t="s">
        <v>77</v>
      </c>
      <c r="J67" s="155"/>
      <c r="K67" s="153"/>
      <c r="L67" s="215"/>
    </row>
    <row r="68" spans="3:12" x14ac:dyDescent="0.25">
      <c r="C68" s="176"/>
      <c r="D68" s="106" t="s">
        <v>334</v>
      </c>
      <c r="E68" s="106" t="s">
        <v>416</v>
      </c>
      <c r="F68" s="579" t="s">
        <v>420</v>
      </c>
      <c r="G68" s="108">
        <v>9</v>
      </c>
      <c r="H68" s="108">
        <v>1</v>
      </c>
      <c r="I68" s="108">
        <f>G68*H68</f>
        <v>9</v>
      </c>
      <c r="J68" s="290"/>
      <c r="K68" s="108">
        <f>I68+I69+I70</f>
        <v>52</v>
      </c>
      <c r="L68" s="304"/>
    </row>
    <row r="69" spans="3:12" x14ac:dyDescent="0.25">
      <c r="C69" s="176"/>
      <c r="D69" s="106" t="s">
        <v>331</v>
      </c>
      <c r="E69" s="106" t="s">
        <v>416</v>
      </c>
      <c r="F69" s="579" t="s">
        <v>420</v>
      </c>
      <c r="G69" s="108">
        <v>28</v>
      </c>
      <c r="H69" s="108">
        <v>1</v>
      </c>
      <c r="I69" s="108">
        <f>G69*H69</f>
        <v>28</v>
      </c>
      <c r="J69" s="155"/>
      <c r="K69" s="154"/>
      <c r="L69" s="215"/>
    </row>
    <row r="70" spans="3:12" x14ac:dyDescent="0.25">
      <c r="C70" s="176"/>
      <c r="D70" s="106" t="s">
        <v>332</v>
      </c>
      <c r="E70" s="106" t="s">
        <v>417</v>
      </c>
      <c r="F70" s="579" t="s">
        <v>420</v>
      </c>
      <c r="G70" s="108">
        <v>3</v>
      </c>
      <c r="H70" s="108">
        <v>5</v>
      </c>
      <c r="I70" s="108">
        <f>G70*H70</f>
        <v>15</v>
      </c>
      <c r="J70" s="155"/>
      <c r="K70" s="131"/>
      <c r="L70" s="215"/>
    </row>
    <row r="71" spans="3:12" x14ac:dyDescent="0.25">
      <c r="C71" s="178"/>
      <c r="D71" s="139"/>
      <c r="E71" s="139"/>
      <c r="F71" s="139"/>
      <c r="G71" s="139"/>
      <c r="H71" s="139"/>
      <c r="I71" s="139"/>
      <c r="J71" s="130"/>
      <c r="K71" s="131"/>
      <c r="L71" s="215"/>
    </row>
    <row r="72" spans="3:12" x14ac:dyDescent="0.25">
      <c r="C72" s="178"/>
      <c r="D72" s="130"/>
      <c r="E72" s="130"/>
      <c r="F72" s="130"/>
      <c r="G72" s="130"/>
      <c r="H72" s="130"/>
      <c r="I72" s="130"/>
      <c r="J72" s="130"/>
      <c r="K72" s="131"/>
      <c r="L72" s="215"/>
    </row>
    <row r="73" spans="3:12" x14ac:dyDescent="0.25">
      <c r="C73" s="177"/>
      <c r="D73" s="136"/>
      <c r="E73" s="136"/>
      <c r="F73" s="136"/>
      <c r="G73" s="136"/>
      <c r="H73" s="136"/>
      <c r="I73" s="136"/>
      <c r="J73" s="136"/>
      <c r="K73" s="136"/>
      <c r="L73" s="270"/>
    </row>
    <row r="74" spans="3:12" x14ac:dyDescent="0.25">
      <c r="C74" s="300" t="s">
        <v>298</v>
      </c>
      <c r="D74" s="1169" t="s">
        <v>299</v>
      </c>
      <c r="E74" s="1170"/>
      <c r="F74" s="1170"/>
      <c r="G74" s="1170"/>
      <c r="H74" s="1170"/>
      <c r="I74" s="1170"/>
      <c r="J74" s="1171"/>
      <c r="K74" s="120" t="s">
        <v>8</v>
      </c>
      <c r="L74" s="168">
        <f>D77</f>
        <v>21</v>
      </c>
    </row>
    <row r="75" spans="3:12" x14ac:dyDescent="0.25">
      <c r="C75" s="175"/>
      <c r="D75" s="145"/>
      <c r="E75" s="139"/>
      <c r="F75" s="139"/>
      <c r="G75" s="139"/>
      <c r="H75" s="139"/>
      <c r="I75" s="139"/>
      <c r="J75" s="139"/>
      <c r="K75" s="154"/>
      <c r="L75" s="262"/>
    </row>
    <row r="76" spans="3:12" x14ac:dyDescent="0.25">
      <c r="C76" s="176"/>
      <c r="D76" s="578" t="s">
        <v>413</v>
      </c>
      <c r="E76" s="155"/>
      <c r="F76" s="130"/>
      <c r="G76" s="130"/>
      <c r="H76" s="130"/>
      <c r="I76" s="130"/>
      <c r="J76" s="130"/>
      <c r="K76" s="131"/>
      <c r="L76" s="215"/>
    </row>
    <row r="77" spans="3:12" x14ac:dyDescent="0.25">
      <c r="C77" s="176"/>
      <c r="D77" s="68">
        <v>21</v>
      </c>
      <c r="E77" s="155"/>
      <c r="F77" s="130"/>
      <c r="G77" s="130"/>
      <c r="H77" s="130"/>
      <c r="I77" s="130"/>
      <c r="J77" s="130"/>
      <c r="K77" s="131"/>
      <c r="L77" s="215"/>
    </row>
    <row r="78" spans="3:12" x14ac:dyDescent="0.25">
      <c r="C78" s="177"/>
      <c r="D78" s="145"/>
      <c r="E78" s="152"/>
      <c r="F78" s="152"/>
      <c r="G78" s="152"/>
      <c r="H78" s="152"/>
      <c r="I78" s="152"/>
      <c r="J78" s="152"/>
      <c r="K78" s="153"/>
      <c r="L78" s="270"/>
    </row>
    <row r="79" spans="3:12" x14ac:dyDescent="0.25">
      <c r="C79" s="300" t="s">
        <v>349</v>
      </c>
      <c r="D79" s="1169" t="s">
        <v>350</v>
      </c>
      <c r="E79" s="1170"/>
      <c r="F79" s="1170"/>
      <c r="G79" s="1170"/>
      <c r="H79" s="1170"/>
      <c r="I79" s="1170"/>
      <c r="J79" s="1171"/>
      <c r="K79" s="120" t="s">
        <v>8</v>
      </c>
      <c r="L79" s="168">
        <f>D82</f>
        <v>11</v>
      </c>
    </row>
    <row r="80" spans="3:12" x14ac:dyDescent="0.25">
      <c r="C80" s="175"/>
      <c r="D80" s="145"/>
      <c r="E80" s="139"/>
      <c r="F80" s="139"/>
      <c r="G80" s="139"/>
      <c r="H80" s="139"/>
      <c r="I80" s="139"/>
      <c r="J80" s="139"/>
      <c r="K80" s="154"/>
      <c r="L80" s="262"/>
    </row>
    <row r="81" spans="3:12" x14ac:dyDescent="0.25">
      <c r="C81" s="176"/>
      <c r="D81" s="578" t="s">
        <v>414</v>
      </c>
      <c r="E81" s="155"/>
      <c r="F81" s="130"/>
      <c r="G81" s="130"/>
      <c r="H81" s="130"/>
      <c r="I81" s="130"/>
      <c r="J81" s="130"/>
      <c r="K81" s="131"/>
      <c r="L81" s="215"/>
    </row>
    <row r="82" spans="3:12" x14ac:dyDescent="0.25">
      <c r="C82" s="176"/>
      <c r="D82" s="68">
        <v>11</v>
      </c>
      <c r="E82" s="155"/>
      <c r="F82" s="130"/>
      <c r="G82" s="130"/>
      <c r="H82" s="130"/>
      <c r="I82" s="130"/>
      <c r="J82" s="130"/>
      <c r="K82" s="131"/>
      <c r="L82" s="215"/>
    </row>
    <row r="83" spans="3:12" x14ac:dyDescent="0.25">
      <c r="C83" s="177"/>
      <c r="D83" s="145"/>
      <c r="E83" s="152"/>
      <c r="F83" s="152"/>
      <c r="G83" s="152"/>
      <c r="H83" s="152"/>
      <c r="I83" s="152"/>
      <c r="J83" s="152"/>
      <c r="K83" s="153"/>
      <c r="L83" s="270"/>
    </row>
    <row r="84" spans="3:12" x14ac:dyDescent="0.25">
      <c r="C84" s="300" t="s">
        <v>301</v>
      </c>
      <c r="D84" s="1169" t="s">
        <v>302</v>
      </c>
      <c r="E84" s="1170"/>
      <c r="F84" s="1170"/>
      <c r="G84" s="1170"/>
      <c r="H84" s="1170"/>
      <c r="I84" s="1170"/>
      <c r="J84" s="1171"/>
      <c r="K84" s="120" t="s">
        <v>7</v>
      </c>
      <c r="L84" s="168">
        <f>F86</f>
        <v>50</v>
      </c>
    </row>
    <row r="85" spans="3:12" ht="15.75" x14ac:dyDescent="0.25">
      <c r="C85" s="305"/>
      <c r="D85" s="113"/>
      <c r="E85" s="113"/>
      <c r="F85" s="113"/>
      <c r="G85" s="110"/>
      <c r="H85" s="110"/>
      <c r="I85" s="110"/>
      <c r="J85" s="110"/>
      <c r="K85" s="112"/>
      <c r="L85" s="262"/>
    </row>
    <row r="86" spans="3:12" ht="15.75" x14ac:dyDescent="0.25">
      <c r="C86" s="306"/>
      <c r="D86" s="585" t="s">
        <v>306</v>
      </c>
      <c r="E86" s="577">
        <v>19</v>
      </c>
      <c r="F86" s="83">
        <f>E86+E87</f>
        <v>50</v>
      </c>
      <c r="G86" s="98"/>
      <c r="H86" s="96"/>
      <c r="I86" s="96"/>
      <c r="J86" s="96"/>
      <c r="K86" s="111"/>
      <c r="L86" s="215"/>
    </row>
    <row r="87" spans="3:12" ht="15.75" x14ac:dyDescent="0.25">
      <c r="C87" s="306"/>
      <c r="D87" s="585" t="s">
        <v>318</v>
      </c>
      <c r="E87" s="577">
        <v>31</v>
      </c>
      <c r="F87" s="291"/>
      <c r="G87" s="96"/>
      <c r="H87" s="96"/>
      <c r="I87" s="96"/>
      <c r="J87" s="96"/>
      <c r="K87" s="111"/>
      <c r="L87" s="215"/>
    </row>
    <row r="88" spans="3:12" ht="15.75" x14ac:dyDescent="0.25">
      <c r="C88" s="307"/>
      <c r="D88" s="113"/>
      <c r="E88" s="113"/>
      <c r="F88" s="109"/>
      <c r="G88" s="109"/>
      <c r="H88" s="109"/>
      <c r="I88" s="109"/>
      <c r="J88" s="109"/>
      <c r="K88" s="114"/>
      <c r="L88" s="270"/>
    </row>
    <row r="89" spans="3:12" x14ac:dyDescent="0.25">
      <c r="C89" s="300" t="s">
        <v>321</v>
      </c>
      <c r="D89" s="1169" t="s">
        <v>322</v>
      </c>
      <c r="E89" s="1170"/>
      <c r="F89" s="1170"/>
      <c r="G89" s="1170"/>
      <c r="H89" s="1170"/>
      <c r="I89" s="1170"/>
      <c r="J89" s="1171"/>
      <c r="K89" s="120" t="s">
        <v>8</v>
      </c>
      <c r="L89" s="168">
        <f>H92</f>
        <v>36</v>
      </c>
    </row>
    <row r="90" spans="3:12" x14ac:dyDescent="0.25">
      <c r="C90" s="175"/>
      <c r="D90" s="165"/>
      <c r="E90" s="165"/>
      <c r="F90" s="165"/>
      <c r="G90" s="165"/>
      <c r="H90" s="165"/>
      <c r="I90" s="162"/>
      <c r="J90" s="162"/>
      <c r="K90" s="162"/>
      <c r="L90" s="308"/>
    </row>
    <row r="91" spans="3:12" x14ac:dyDescent="0.25">
      <c r="C91" s="176"/>
      <c r="D91" s="579" t="s">
        <v>244</v>
      </c>
      <c r="E91" s="579" t="s">
        <v>418</v>
      </c>
      <c r="F91" s="579" t="s">
        <v>419</v>
      </c>
      <c r="G91" s="579" t="s">
        <v>8</v>
      </c>
      <c r="H91" s="157" t="s">
        <v>77</v>
      </c>
      <c r="I91" s="164"/>
      <c r="J91" s="161"/>
      <c r="K91" s="161"/>
      <c r="L91" s="309"/>
    </row>
    <row r="92" spans="3:12" x14ac:dyDescent="0.25">
      <c r="C92" s="176"/>
      <c r="D92" s="106" t="s">
        <v>415</v>
      </c>
      <c r="E92" s="106" t="s">
        <v>421</v>
      </c>
      <c r="F92" s="579" t="s">
        <v>422</v>
      </c>
      <c r="G92" s="108">
        <v>9</v>
      </c>
      <c r="H92" s="158">
        <f>G92*4</f>
        <v>36</v>
      </c>
      <c r="I92" s="164"/>
      <c r="J92" s="161"/>
      <c r="K92" s="161"/>
      <c r="L92" s="309"/>
    </row>
    <row r="93" spans="3:12" x14ac:dyDescent="0.25">
      <c r="C93" s="177"/>
      <c r="D93" s="145"/>
      <c r="E93" s="145"/>
      <c r="F93" s="156"/>
      <c r="G93" s="292"/>
      <c r="H93" s="165"/>
      <c r="I93" s="163"/>
      <c r="J93" s="163"/>
      <c r="K93" s="163"/>
      <c r="L93" s="310"/>
    </row>
    <row r="94" spans="3:12" x14ac:dyDescent="0.25">
      <c r="C94" s="300" t="s">
        <v>438</v>
      </c>
      <c r="D94" s="1169" t="s">
        <v>439</v>
      </c>
      <c r="E94" s="1170"/>
      <c r="F94" s="1170"/>
      <c r="G94" s="1170"/>
      <c r="H94" s="1170"/>
      <c r="I94" s="1170"/>
      <c r="J94" s="1171"/>
      <c r="K94" s="120" t="s">
        <v>7</v>
      </c>
      <c r="L94" s="168">
        <f>G97</f>
        <v>16</v>
      </c>
    </row>
    <row r="95" spans="3:12" x14ac:dyDescent="0.25">
      <c r="C95" s="175"/>
      <c r="D95" s="146"/>
      <c r="E95" s="146"/>
      <c r="F95" s="138"/>
      <c r="G95" s="138"/>
      <c r="H95" s="138"/>
      <c r="I95" s="138"/>
      <c r="J95" s="138"/>
      <c r="K95" s="138"/>
      <c r="L95" s="262"/>
    </row>
    <row r="96" spans="3:12" x14ac:dyDescent="0.25">
      <c r="C96" s="176"/>
      <c r="D96" s="581" t="s">
        <v>315</v>
      </c>
      <c r="E96" s="72">
        <v>4</v>
      </c>
      <c r="F96" s="142"/>
      <c r="G96" s="136"/>
      <c r="H96" s="129"/>
      <c r="I96" s="129"/>
      <c r="J96" s="129"/>
      <c r="K96" s="129"/>
      <c r="L96" s="215"/>
    </row>
    <row r="97" spans="3:12" x14ac:dyDescent="0.25">
      <c r="C97" s="176"/>
      <c r="D97" s="581" t="s">
        <v>387</v>
      </c>
      <c r="E97" s="72">
        <v>4</v>
      </c>
      <c r="F97" s="293"/>
      <c r="G97" s="68">
        <f>SUM(E96:E99)</f>
        <v>16</v>
      </c>
      <c r="H97" s="142"/>
      <c r="I97" s="129"/>
      <c r="J97" s="129"/>
      <c r="K97" s="129"/>
      <c r="L97" s="215"/>
    </row>
    <row r="98" spans="3:12" x14ac:dyDescent="0.25">
      <c r="C98" s="176"/>
      <c r="D98" s="581" t="s">
        <v>634</v>
      </c>
      <c r="E98" s="72">
        <v>4</v>
      </c>
      <c r="F98" s="142"/>
      <c r="G98" s="138"/>
      <c r="H98" s="129"/>
      <c r="I98" s="129"/>
      <c r="J98" s="129"/>
      <c r="K98" s="129"/>
      <c r="L98" s="215"/>
    </row>
    <row r="99" spans="3:12" x14ac:dyDescent="0.25">
      <c r="C99" s="176"/>
      <c r="D99" s="581" t="s">
        <v>635</v>
      </c>
      <c r="E99" s="72">
        <v>4</v>
      </c>
      <c r="F99" s="142"/>
      <c r="G99" s="129"/>
      <c r="H99" s="129"/>
      <c r="I99" s="129"/>
      <c r="J99" s="129"/>
      <c r="K99" s="129"/>
      <c r="L99" s="215"/>
    </row>
    <row r="100" spans="3:12" x14ac:dyDescent="0.25">
      <c r="C100" s="177"/>
      <c r="D100" s="146"/>
      <c r="E100" s="146"/>
      <c r="F100" s="136"/>
      <c r="G100" s="136"/>
      <c r="H100" s="136"/>
      <c r="I100" s="136"/>
      <c r="J100" s="136"/>
      <c r="K100" s="136"/>
      <c r="L100" s="270"/>
    </row>
    <row r="101" spans="3:12" x14ac:dyDescent="0.25">
      <c r="C101" s="300" t="s">
        <v>440</v>
      </c>
      <c r="D101" s="1169" t="s">
        <v>441</v>
      </c>
      <c r="E101" s="1170"/>
      <c r="F101" s="1170"/>
      <c r="G101" s="1170"/>
      <c r="H101" s="1170"/>
      <c r="I101" s="1170"/>
      <c r="J101" s="1171"/>
      <c r="K101" s="120" t="s">
        <v>7</v>
      </c>
      <c r="L101" s="168">
        <f>G104</f>
        <v>25</v>
      </c>
    </row>
    <row r="102" spans="3:12" x14ac:dyDescent="0.25">
      <c r="C102" s="175"/>
      <c r="D102" s="146"/>
      <c r="E102" s="146"/>
      <c r="F102" s="138"/>
      <c r="G102" s="138"/>
      <c r="H102" s="138"/>
      <c r="I102" s="138"/>
      <c r="J102" s="138"/>
      <c r="K102" s="138"/>
      <c r="L102" s="262"/>
    </row>
    <row r="103" spans="3:12" x14ac:dyDescent="0.25">
      <c r="C103" s="176"/>
      <c r="D103" s="581" t="s">
        <v>603</v>
      </c>
      <c r="E103" s="68">
        <v>11</v>
      </c>
      <c r="F103" s="142"/>
      <c r="G103" s="136"/>
      <c r="H103" s="129"/>
      <c r="I103" s="129"/>
      <c r="J103" s="129"/>
      <c r="K103" s="129"/>
      <c r="L103" s="215"/>
    </row>
    <row r="104" spans="3:12" x14ac:dyDescent="0.25">
      <c r="C104" s="176"/>
      <c r="D104" s="581" t="s">
        <v>312</v>
      </c>
      <c r="E104" s="68">
        <v>14</v>
      </c>
      <c r="F104" s="293"/>
      <c r="G104" s="68">
        <f>E103+E104</f>
        <v>25</v>
      </c>
      <c r="H104" s="142"/>
      <c r="I104" s="129"/>
      <c r="J104" s="129"/>
      <c r="K104" s="129"/>
      <c r="L104" s="215"/>
    </row>
    <row r="105" spans="3:12" x14ac:dyDescent="0.25">
      <c r="C105" s="178"/>
      <c r="D105" s="138"/>
      <c r="E105" s="138"/>
      <c r="F105" s="129"/>
      <c r="G105" s="138"/>
      <c r="H105" s="129"/>
      <c r="I105" s="129"/>
      <c r="J105" s="129"/>
      <c r="K105" s="129"/>
      <c r="L105" s="215"/>
    </row>
    <row r="106" spans="3:12" x14ac:dyDescent="0.25">
      <c r="C106" s="177"/>
      <c r="D106" s="136"/>
      <c r="E106" s="136"/>
      <c r="F106" s="136"/>
      <c r="G106" s="136"/>
      <c r="H106" s="136"/>
      <c r="I106" s="136"/>
      <c r="J106" s="136"/>
      <c r="K106" s="136"/>
      <c r="L106" s="270"/>
    </row>
    <row r="107" spans="3:12" x14ac:dyDescent="0.25">
      <c r="C107" s="300" t="s">
        <v>444</v>
      </c>
      <c r="D107" s="1169" t="s">
        <v>445</v>
      </c>
      <c r="E107" s="1170"/>
      <c r="F107" s="1170"/>
      <c r="G107" s="1170"/>
      <c r="H107" s="1170"/>
      <c r="I107" s="1170"/>
      <c r="J107" s="1171"/>
      <c r="K107" s="120" t="s">
        <v>7</v>
      </c>
      <c r="L107" s="168">
        <f>G109</f>
        <v>8</v>
      </c>
    </row>
    <row r="108" spans="3:12" x14ac:dyDescent="0.25">
      <c r="C108" s="175"/>
      <c r="D108" s="146"/>
      <c r="E108" s="146"/>
      <c r="F108" s="138"/>
      <c r="G108" s="146"/>
      <c r="H108" s="138"/>
      <c r="I108" s="138"/>
      <c r="J108" s="138"/>
      <c r="K108" s="138"/>
      <c r="L108" s="262"/>
    </row>
    <row r="109" spans="3:12" x14ac:dyDescent="0.25">
      <c r="C109" s="176"/>
      <c r="D109" s="106" t="s">
        <v>603</v>
      </c>
      <c r="E109" s="108">
        <v>6</v>
      </c>
      <c r="F109" s="293"/>
      <c r="G109" s="108">
        <f>E109+E110</f>
        <v>8</v>
      </c>
      <c r="H109" s="142"/>
      <c r="I109" s="129"/>
      <c r="J109" s="129"/>
      <c r="K109" s="129"/>
      <c r="L109" s="215"/>
    </row>
    <row r="110" spans="3:12" x14ac:dyDescent="0.25">
      <c r="C110" s="176"/>
      <c r="D110" s="106" t="s">
        <v>312</v>
      </c>
      <c r="E110" s="108">
        <v>2</v>
      </c>
      <c r="F110" s="142"/>
      <c r="G110" s="138"/>
      <c r="H110" s="129"/>
      <c r="I110" s="129"/>
      <c r="J110" s="129"/>
      <c r="K110" s="129"/>
      <c r="L110" s="215"/>
    </row>
    <row r="111" spans="3:12" x14ac:dyDescent="0.25">
      <c r="C111" s="178"/>
      <c r="D111" s="138"/>
      <c r="E111" s="138"/>
      <c r="F111" s="129"/>
      <c r="G111" s="129"/>
      <c r="H111" s="129"/>
      <c r="I111" s="129"/>
      <c r="J111" s="129"/>
      <c r="K111" s="129"/>
      <c r="L111" s="215"/>
    </row>
    <row r="112" spans="3:12" x14ac:dyDescent="0.25">
      <c r="C112" s="177"/>
      <c r="D112" s="136"/>
      <c r="E112" s="136"/>
      <c r="F112" s="136"/>
      <c r="G112" s="136"/>
      <c r="H112" s="136"/>
      <c r="I112" s="136"/>
      <c r="J112" s="136"/>
      <c r="K112" s="136"/>
      <c r="L112" s="270"/>
    </row>
    <row r="113" spans="3:12" x14ac:dyDescent="0.25">
      <c r="C113" s="300" t="s">
        <v>308</v>
      </c>
      <c r="D113" s="1169" t="s">
        <v>309</v>
      </c>
      <c r="E113" s="1170"/>
      <c r="F113" s="1170"/>
      <c r="G113" s="1170"/>
      <c r="H113" s="1170"/>
      <c r="I113" s="1170"/>
      <c r="J113" s="1171"/>
      <c r="K113" s="120" t="s">
        <v>7</v>
      </c>
      <c r="L113" s="168">
        <v>13</v>
      </c>
    </row>
    <row r="114" spans="3:12" x14ac:dyDescent="0.25">
      <c r="C114" s="175"/>
      <c r="D114" s="146"/>
      <c r="E114" s="146"/>
      <c r="F114" s="138"/>
      <c r="G114" s="138"/>
      <c r="H114" s="138"/>
      <c r="I114" s="138"/>
      <c r="J114" s="138"/>
      <c r="K114" s="138"/>
      <c r="L114" s="262"/>
    </row>
    <row r="115" spans="3:12" x14ac:dyDescent="0.25">
      <c r="C115" s="176"/>
      <c r="D115" s="579" t="s">
        <v>106</v>
      </c>
      <c r="E115" s="579" t="s">
        <v>155</v>
      </c>
      <c r="F115" s="142"/>
      <c r="G115" s="129"/>
      <c r="H115" s="129"/>
      <c r="I115" s="129"/>
      <c r="J115" s="129"/>
      <c r="K115" s="129"/>
      <c r="L115" s="215"/>
    </row>
    <row r="116" spans="3:12" x14ac:dyDescent="0.25">
      <c r="C116" s="176"/>
      <c r="D116" s="106" t="s">
        <v>310</v>
      </c>
      <c r="E116" s="108">
        <f>2*4</f>
        <v>8</v>
      </c>
      <c r="F116" s="142"/>
      <c r="G116" s="129"/>
      <c r="H116" s="129"/>
      <c r="I116" s="129"/>
      <c r="J116" s="129"/>
      <c r="K116" s="129"/>
      <c r="L116" s="215"/>
    </row>
    <row r="117" spans="3:12" x14ac:dyDescent="0.25">
      <c r="C117" s="176"/>
      <c r="D117" s="106" t="s">
        <v>85</v>
      </c>
      <c r="E117" s="108">
        <v>3</v>
      </c>
      <c r="F117" s="142"/>
      <c r="G117" s="129"/>
      <c r="H117" s="129"/>
      <c r="I117" s="129"/>
      <c r="J117" s="129"/>
      <c r="K117" s="129"/>
      <c r="L117" s="215"/>
    </row>
    <row r="118" spans="3:12" x14ac:dyDescent="0.25">
      <c r="C118" s="176"/>
      <c r="D118" s="106" t="s">
        <v>311</v>
      </c>
      <c r="E118" s="108">
        <v>1</v>
      </c>
      <c r="F118" s="142"/>
      <c r="G118" s="129"/>
      <c r="H118" s="129"/>
      <c r="I118" s="129"/>
      <c r="J118" s="129"/>
      <c r="K118" s="129"/>
      <c r="L118" s="215"/>
    </row>
    <row r="119" spans="3:12" x14ac:dyDescent="0.25">
      <c r="C119" s="176"/>
      <c r="D119" s="106" t="s">
        <v>307</v>
      </c>
      <c r="E119" s="108">
        <v>1</v>
      </c>
      <c r="F119" s="142"/>
      <c r="G119" s="129"/>
      <c r="H119" s="129"/>
      <c r="I119" s="129"/>
      <c r="J119" s="129"/>
      <c r="K119" s="129"/>
      <c r="L119" s="215"/>
    </row>
    <row r="120" spans="3:12" x14ac:dyDescent="0.25">
      <c r="C120" s="176"/>
      <c r="D120" s="579" t="s">
        <v>217</v>
      </c>
      <c r="E120" s="107">
        <f>SUM(E116:E119)</f>
        <v>13</v>
      </c>
      <c r="F120" s="142"/>
      <c r="G120" s="129"/>
      <c r="H120" s="129"/>
      <c r="I120" s="129"/>
      <c r="J120" s="129"/>
      <c r="K120" s="129"/>
      <c r="L120" s="215"/>
    </row>
    <row r="121" spans="3:12" x14ac:dyDescent="0.25">
      <c r="C121" s="177"/>
      <c r="D121" s="146"/>
      <c r="E121" s="294"/>
      <c r="F121" s="136"/>
      <c r="G121" s="136"/>
      <c r="H121" s="136"/>
      <c r="I121" s="136"/>
      <c r="J121" s="136"/>
      <c r="K121" s="136"/>
      <c r="L121" s="270"/>
    </row>
    <row r="122" spans="3:12" x14ac:dyDescent="0.25">
      <c r="C122" s="300" t="s">
        <v>75</v>
      </c>
      <c r="D122" s="1169" t="s">
        <v>180</v>
      </c>
      <c r="E122" s="1170"/>
      <c r="F122" s="1170"/>
      <c r="G122" s="1170"/>
      <c r="H122" s="1170"/>
      <c r="I122" s="1170"/>
      <c r="J122" s="1171"/>
      <c r="K122" s="120" t="s">
        <v>7</v>
      </c>
      <c r="L122" s="168">
        <f>E131</f>
        <v>17</v>
      </c>
    </row>
    <row r="123" spans="3:12" x14ac:dyDescent="0.25">
      <c r="C123" s="175"/>
      <c r="D123" s="156"/>
      <c r="E123" s="294"/>
      <c r="F123" s="138"/>
      <c r="G123" s="138"/>
      <c r="H123" s="138"/>
      <c r="I123" s="138"/>
      <c r="J123" s="138"/>
      <c r="K123" s="138"/>
      <c r="L123" s="262"/>
    </row>
    <row r="124" spans="3:12" x14ac:dyDescent="0.25">
      <c r="C124" s="176"/>
      <c r="D124" s="579" t="s">
        <v>106</v>
      </c>
      <c r="E124" s="579" t="s">
        <v>155</v>
      </c>
      <c r="F124" s="142"/>
      <c r="G124" s="129"/>
      <c r="H124" s="129"/>
      <c r="I124" s="129"/>
      <c r="J124" s="129"/>
      <c r="K124" s="129"/>
      <c r="L124" s="215"/>
    </row>
    <row r="125" spans="3:12" x14ac:dyDescent="0.25">
      <c r="C125" s="176"/>
      <c r="D125" s="106" t="s">
        <v>310</v>
      </c>
      <c r="E125" s="108">
        <f>2*4</f>
        <v>8</v>
      </c>
      <c r="F125" s="142"/>
      <c r="G125" s="129"/>
      <c r="H125" s="129"/>
      <c r="I125" s="129"/>
      <c r="J125" s="129"/>
      <c r="K125" s="129"/>
      <c r="L125" s="215"/>
    </row>
    <row r="126" spans="3:12" x14ac:dyDescent="0.25">
      <c r="C126" s="176"/>
      <c r="D126" s="106" t="s">
        <v>85</v>
      </c>
      <c r="E126" s="108">
        <v>3</v>
      </c>
      <c r="F126" s="142"/>
      <c r="G126" s="129"/>
      <c r="H126" s="129"/>
      <c r="I126" s="129"/>
      <c r="J126" s="129"/>
      <c r="K126" s="129"/>
      <c r="L126" s="215"/>
    </row>
    <row r="127" spans="3:12" x14ac:dyDescent="0.25">
      <c r="C127" s="176"/>
      <c r="D127" s="106" t="s">
        <v>311</v>
      </c>
      <c r="E127" s="108">
        <v>1</v>
      </c>
      <c r="F127" s="142"/>
      <c r="G127" s="129"/>
      <c r="H127" s="129"/>
      <c r="I127" s="129"/>
      <c r="J127" s="129"/>
      <c r="K127" s="129"/>
      <c r="L127" s="215"/>
    </row>
    <row r="128" spans="3:12" x14ac:dyDescent="0.25">
      <c r="C128" s="176"/>
      <c r="D128" s="106" t="s">
        <v>636</v>
      </c>
      <c r="E128" s="108">
        <v>2</v>
      </c>
      <c r="F128" s="142"/>
      <c r="G128" s="129"/>
      <c r="H128" s="129"/>
      <c r="I128" s="129"/>
      <c r="J128" s="129"/>
      <c r="K128" s="129"/>
      <c r="L128" s="215"/>
    </row>
    <row r="129" spans="3:12" x14ac:dyDescent="0.25">
      <c r="C129" s="176"/>
      <c r="D129" s="106" t="s">
        <v>637</v>
      </c>
      <c r="E129" s="108">
        <v>2</v>
      </c>
      <c r="F129" s="142"/>
      <c r="G129" s="129"/>
      <c r="H129" s="129"/>
      <c r="I129" s="129"/>
      <c r="J129" s="129"/>
      <c r="K129" s="129"/>
      <c r="L129" s="215"/>
    </row>
    <row r="130" spans="3:12" x14ac:dyDescent="0.25">
      <c r="C130" s="176"/>
      <c r="D130" s="106" t="s">
        <v>307</v>
      </c>
      <c r="E130" s="108">
        <v>1</v>
      </c>
      <c r="F130" s="142"/>
      <c r="G130" s="129"/>
      <c r="H130" s="129"/>
      <c r="I130" s="129"/>
      <c r="J130" s="129"/>
      <c r="K130" s="129"/>
      <c r="L130" s="215"/>
    </row>
    <row r="131" spans="3:12" x14ac:dyDescent="0.25">
      <c r="C131" s="176"/>
      <c r="D131" s="579" t="s">
        <v>217</v>
      </c>
      <c r="E131" s="107">
        <f>SUM(E125:E130)</f>
        <v>17</v>
      </c>
      <c r="F131" s="142"/>
      <c r="G131" s="129"/>
      <c r="H131" s="129"/>
      <c r="I131" s="129"/>
      <c r="J131" s="129"/>
      <c r="K131" s="129"/>
      <c r="L131" s="215"/>
    </row>
    <row r="132" spans="3:12" x14ac:dyDescent="0.25">
      <c r="C132" s="178"/>
      <c r="D132" s="154"/>
      <c r="E132" s="295"/>
      <c r="F132" s="129"/>
      <c r="G132" s="129"/>
      <c r="H132" s="129"/>
      <c r="I132" s="129"/>
      <c r="J132" s="129"/>
      <c r="K132" s="129"/>
      <c r="L132" s="215"/>
    </row>
    <row r="133" spans="3:12" x14ac:dyDescent="0.25">
      <c r="C133" s="177"/>
      <c r="D133" s="153"/>
      <c r="E133" s="153"/>
      <c r="F133" s="153"/>
      <c r="G133" s="153"/>
      <c r="H133" s="153"/>
      <c r="I133" s="153"/>
      <c r="J133" s="153"/>
      <c r="K133" s="153"/>
      <c r="L133" s="270"/>
    </row>
    <row r="134" spans="3:12" x14ac:dyDescent="0.25">
      <c r="C134" s="300" t="s">
        <v>58</v>
      </c>
      <c r="D134" s="1169" t="s">
        <v>59</v>
      </c>
      <c r="E134" s="1170"/>
      <c r="F134" s="1170"/>
      <c r="G134" s="1170"/>
      <c r="H134" s="1170"/>
      <c r="I134" s="1170"/>
      <c r="J134" s="1171"/>
      <c r="K134" s="120" t="s">
        <v>48</v>
      </c>
      <c r="L134" s="168">
        <f>F136</f>
        <v>33.347999999999999</v>
      </c>
    </row>
    <row r="135" spans="3:12" x14ac:dyDescent="0.25">
      <c r="C135" s="175"/>
      <c r="D135" s="146"/>
      <c r="E135" s="146"/>
      <c r="F135" s="146"/>
      <c r="G135" s="138"/>
      <c r="H135" s="138"/>
      <c r="I135" s="138"/>
      <c r="J135" s="138"/>
      <c r="K135" s="138"/>
      <c r="L135" s="262"/>
    </row>
    <row r="136" spans="3:12" x14ac:dyDescent="0.25">
      <c r="C136" s="176"/>
      <c r="D136" s="105">
        <v>27.79</v>
      </c>
      <c r="E136" s="105">
        <v>1.2</v>
      </c>
      <c r="F136" s="107">
        <f>D136*E136</f>
        <v>33.347999999999999</v>
      </c>
      <c r="G136" s="142"/>
      <c r="H136" s="129"/>
      <c r="I136" s="129"/>
      <c r="J136" s="129"/>
      <c r="K136" s="129"/>
      <c r="L136" s="215"/>
    </row>
    <row r="137" spans="3:12" x14ac:dyDescent="0.25">
      <c r="C137" s="177"/>
      <c r="D137" s="145"/>
      <c r="E137" s="145"/>
      <c r="F137" s="156"/>
      <c r="G137" s="296"/>
      <c r="H137" s="163"/>
      <c r="I137" s="163"/>
      <c r="J137" s="163"/>
      <c r="K137" s="163"/>
      <c r="L137" s="310"/>
    </row>
    <row r="138" spans="3:12" x14ac:dyDescent="0.25">
      <c r="C138" s="300" t="s">
        <v>467</v>
      </c>
      <c r="D138" s="1169" t="s">
        <v>593</v>
      </c>
      <c r="E138" s="1170"/>
      <c r="F138" s="1170"/>
      <c r="G138" s="1170"/>
      <c r="H138" s="1170"/>
      <c r="I138" s="1170"/>
      <c r="J138" s="1171"/>
      <c r="K138" s="120" t="s">
        <v>7</v>
      </c>
      <c r="L138" s="168">
        <v>2</v>
      </c>
    </row>
    <row r="139" spans="3:12" x14ac:dyDescent="0.25">
      <c r="C139" s="311"/>
      <c r="D139" s="146"/>
      <c r="E139" s="146"/>
      <c r="F139" s="146"/>
      <c r="G139" s="146"/>
      <c r="H139" s="146"/>
      <c r="I139" s="146"/>
      <c r="J139" s="146"/>
      <c r="K139" s="146"/>
      <c r="L139" s="312"/>
    </row>
    <row r="140" spans="3:12" x14ac:dyDescent="0.25">
      <c r="C140" s="300" t="s">
        <v>467</v>
      </c>
      <c r="D140" s="1169" t="s">
        <v>594</v>
      </c>
      <c r="E140" s="1170"/>
      <c r="F140" s="1170"/>
      <c r="G140" s="1170"/>
      <c r="H140" s="1170"/>
      <c r="I140" s="1170"/>
      <c r="J140" s="1171"/>
      <c r="K140" s="120" t="s">
        <v>7</v>
      </c>
      <c r="L140" s="168">
        <v>14</v>
      </c>
    </row>
    <row r="141" spans="3:12" x14ac:dyDescent="0.25">
      <c r="C141" s="311"/>
      <c r="D141" s="146"/>
      <c r="E141" s="146"/>
      <c r="F141" s="146"/>
      <c r="G141" s="146"/>
      <c r="H141" s="146"/>
      <c r="I141" s="146"/>
      <c r="J141" s="146"/>
      <c r="K141" s="146"/>
      <c r="L141" s="312"/>
    </row>
    <row r="142" spans="3:12" x14ac:dyDescent="0.25">
      <c r="C142" s="300" t="s">
        <v>154</v>
      </c>
      <c r="D142" s="1169" t="s">
        <v>595</v>
      </c>
      <c r="E142" s="1170"/>
      <c r="F142" s="1170"/>
      <c r="G142" s="1170"/>
      <c r="H142" s="1170"/>
      <c r="I142" s="1170"/>
      <c r="J142" s="1171"/>
      <c r="K142" s="120" t="s">
        <v>7</v>
      </c>
      <c r="L142" s="168">
        <v>1</v>
      </c>
    </row>
    <row r="143" spans="3:12" x14ac:dyDescent="0.25">
      <c r="C143" s="311"/>
      <c r="D143" s="146"/>
      <c r="E143" s="146"/>
      <c r="F143" s="146"/>
      <c r="G143" s="146"/>
      <c r="H143" s="146"/>
      <c r="I143" s="146"/>
      <c r="J143" s="146"/>
      <c r="K143" s="146"/>
      <c r="L143" s="312"/>
    </row>
    <row r="144" spans="3:12" x14ac:dyDescent="0.25">
      <c r="C144" s="300" t="s">
        <v>153</v>
      </c>
      <c r="D144" s="1169" t="s">
        <v>596</v>
      </c>
      <c r="E144" s="1170"/>
      <c r="F144" s="1170"/>
      <c r="G144" s="1170"/>
      <c r="H144" s="1170"/>
      <c r="I144" s="1170"/>
      <c r="J144" s="1171"/>
      <c r="K144" s="120" t="s">
        <v>7</v>
      </c>
      <c r="L144" s="168">
        <v>9</v>
      </c>
    </row>
    <row r="145" spans="3:12" x14ac:dyDescent="0.25">
      <c r="C145" s="311"/>
      <c r="D145" s="146"/>
      <c r="E145" s="146"/>
      <c r="F145" s="146"/>
      <c r="G145" s="146"/>
      <c r="H145" s="146"/>
      <c r="I145" s="146"/>
      <c r="J145" s="146"/>
      <c r="K145" s="146"/>
      <c r="L145" s="312"/>
    </row>
    <row r="146" spans="3:12" x14ac:dyDescent="0.25">
      <c r="C146" s="300" t="s">
        <v>150</v>
      </c>
      <c r="D146" s="1169" t="s">
        <v>465</v>
      </c>
      <c r="E146" s="1170"/>
      <c r="F146" s="1170"/>
      <c r="G146" s="1170"/>
      <c r="H146" s="1170"/>
      <c r="I146" s="1170"/>
      <c r="J146" s="1171"/>
      <c r="K146" s="120" t="s">
        <v>7</v>
      </c>
      <c r="L146" s="168">
        <v>4</v>
      </c>
    </row>
    <row r="147" spans="3:12" x14ac:dyDescent="0.25">
      <c r="C147" s="311"/>
      <c r="D147" s="146"/>
      <c r="E147" s="146"/>
      <c r="F147" s="146"/>
      <c r="G147" s="146"/>
      <c r="H147" s="146"/>
      <c r="I147" s="146"/>
      <c r="J147" s="146"/>
      <c r="K147" s="146"/>
      <c r="L147" s="312"/>
    </row>
    <row r="148" spans="3:12" x14ac:dyDescent="0.25">
      <c r="C148" s="300" t="s">
        <v>467</v>
      </c>
      <c r="D148" s="1169" t="s">
        <v>597</v>
      </c>
      <c r="E148" s="1170"/>
      <c r="F148" s="1170"/>
      <c r="G148" s="1170"/>
      <c r="H148" s="1170"/>
      <c r="I148" s="1170"/>
      <c r="J148" s="1171"/>
      <c r="K148" s="120" t="s">
        <v>7</v>
      </c>
      <c r="L148" s="168">
        <v>4</v>
      </c>
    </row>
    <row r="149" spans="3:12" x14ac:dyDescent="0.25">
      <c r="C149" s="311"/>
      <c r="D149" s="146"/>
      <c r="E149" s="146"/>
      <c r="F149" s="146"/>
      <c r="G149" s="146"/>
      <c r="H149" s="146"/>
      <c r="I149" s="146"/>
      <c r="J149" s="146"/>
      <c r="K149" s="146"/>
      <c r="L149" s="312"/>
    </row>
    <row r="150" spans="3:12" x14ac:dyDescent="0.25">
      <c r="C150" s="300" t="s">
        <v>154</v>
      </c>
      <c r="D150" s="1169" t="s">
        <v>598</v>
      </c>
      <c r="E150" s="1170"/>
      <c r="F150" s="1170"/>
      <c r="G150" s="1170"/>
      <c r="H150" s="1170"/>
      <c r="I150" s="1170"/>
      <c r="J150" s="1171"/>
      <c r="K150" s="120" t="s">
        <v>7</v>
      </c>
      <c r="L150" s="168">
        <v>5</v>
      </c>
    </row>
    <row r="151" spans="3:12" x14ac:dyDescent="0.25">
      <c r="C151" s="311"/>
      <c r="D151" s="146"/>
      <c r="E151" s="146"/>
      <c r="F151" s="146"/>
      <c r="G151" s="146"/>
      <c r="H151" s="146"/>
      <c r="I151" s="146"/>
      <c r="J151" s="146"/>
      <c r="K151" s="146"/>
      <c r="L151" s="312"/>
    </row>
    <row r="152" spans="3:12" x14ac:dyDescent="0.25">
      <c r="C152" s="300" t="s">
        <v>225</v>
      </c>
      <c r="D152" s="1169" t="s">
        <v>226</v>
      </c>
      <c r="E152" s="1170"/>
      <c r="F152" s="1170"/>
      <c r="G152" s="1170"/>
      <c r="H152" s="1170"/>
      <c r="I152" s="1170"/>
      <c r="J152" s="1171"/>
      <c r="K152" s="120" t="s">
        <v>7</v>
      </c>
      <c r="L152" s="168">
        <v>30</v>
      </c>
    </row>
    <row r="153" spans="3:12" x14ac:dyDescent="0.25">
      <c r="C153" s="311"/>
      <c r="D153" s="146"/>
      <c r="E153" s="146"/>
      <c r="F153" s="146"/>
      <c r="G153" s="146"/>
      <c r="H153" s="146"/>
      <c r="I153" s="146"/>
      <c r="J153" s="146"/>
      <c r="K153" s="146"/>
      <c r="L153" s="312"/>
    </row>
    <row r="154" spans="3:12" x14ac:dyDescent="0.25">
      <c r="C154" s="300" t="s">
        <v>479</v>
      </c>
      <c r="D154" s="1169" t="s">
        <v>480</v>
      </c>
      <c r="E154" s="1170"/>
      <c r="F154" s="1170"/>
      <c r="G154" s="1170"/>
      <c r="H154" s="1170"/>
      <c r="I154" s="1170"/>
      <c r="J154" s="1171"/>
      <c r="K154" s="120" t="s">
        <v>42</v>
      </c>
      <c r="L154" s="168">
        <f>G157</f>
        <v>12</v>
      </c>
    </row>
    <row r="155" spans="3:12" x14ac:dyDescent="0.25">
      <c r="C155" s="175"/>
      <c r="D155" s="138"/>
      <c r="E155" s="146"/>
      <c r="F155" s="146"/>
      <c r="G155" s="209"/>
      <c r="H155" s="138"/>
      <c r="I155" s="138"/>
      <c r="J155" s="138"/>
      <c r="K155" s="138"/>
      <c r="L155" s="262"/>
    </row>
    <row r="156" spans="3:12" x14ac:dyDescent="0.25">
      <c r="C156" s="178"/>
      <c r="D156" s="249"/>
      <c r="E156" s="579" t="s">
        <v>604</v>
      </c>
      <c r="F156" s="579" t="s">
        <v>42</v>
      </c>
      <c r="G156" s="578" t="s">
        <v>77</v>
      </c>
      <c r="H156" s="142"/>
      <c r="I156" s="129"/>
      <c r="J156" s="129"/>
      <c r="K156" s="129"/>
      <c r="L156" s="215"/>
    </row>
    <row r="157" spans="3:12" x14ac:dyDescent="0.25">
      <c r="C157" s="178"/>
      <c r="D157" s="249"/>
      <c r="E157" s="108">
        <v>1</v>
      </c>
      <c r="F157" s="108">
        <v>12</v>
      </c>
      <c r="G157" s="68">
        <f>E157*F157</f>
        <v>12</v>
      </c>
      <c r="H157" s="142"/>
      <c r="I157" s="129"/>
      <c r="J157" s="129"/>
      <c r="K157" s="129"/>
      <c r="L157" s="215"/>
    </row>
    <row r="158" spans="3:12" x14ac:dyDescent="0.25">
      <c r="C158" s="178"/>
      <c r="D158" s="129"/>
      <c r="E158" s="138"/>
      <c r="F158" s="138"/>
      <c r="G158" s="138"/>
      <c r="H158" s="129"/>
      <c r="I158" s="129"/>
      <c r="J158" s="129"/>
      <c r="K158" s="129"/>
      <c r="L158" s="215"/>
    </row>
    <row r="159" spans="3:12" x14ac:dyDescent="0.25">
      <c r="C159" s="177"/>
      <c r="D159" s="136"/>
      <c r="E159" s="136"/>
      <c r="F159" s="136"/>
      <c r="G159" s="136"/>
      <c r="H159" s="136"/>
      <c r="I159" s="136"/>
      <c r="J159" s="136"/>
      <c r="K159" s="136"/>
      <c r="L159" s="270"/>
    </row>
    <row r="160" spans="3:12" ht="15.75" x14ac:dyDescent="0.25">
      <c r="C160" s="559" t="s">
        <v>718</v>
      </c>
      <c r="D160" s="1157" t="s">
        <v>719</v>
      </c>
      <c r="E160" s="1157"/>
      <c r="F160" s="1157"/>
      <c r="G160" s="1157"/>
      <c r="H160" s="1157"/>
      <c r="I160" s="1157"/>
      <c r="J160" s="1157"/>
      <c r="K160" s="520" t="s">
        <v>5</v>
      </c>
      <c r="L160" s="560">
        <f>E194</f>
        <v>223.74</v>
      </c>
    </row>
    <row r="161" spans="3:12" x14ac:dyDescent="0.25">
      <c r="C161" s="570"/>
      <c r="D161" s="39"/>
      <c r="E161" s="39"/>
      <c r="F161" s="25"/>
      <c r="G161" s="25"/>
      <c r="H161" s="25"/>
      <c r="I161" s="25"/>
      <c r="J161" s="25"/>
      <c r="K161" s="25"/>
      <c r="L161" s="169"/>
    </row>
    <row r="162" spans="3:12" x14ac:dyDescent="0.25">
      <c r="C162" s="180"/>
      <c r="D162" s="588" t="s">
        <v>106</v>
      </c>
      <c r="E162" s="588" t="s">
        <v>218</v>
      </c>
      <c r="F162" s="36"/>
      <c r="G162" s="24"/>
      <c r="H162" s="24"/>
      <c r="I162" s="24"/>
      <c r="J162" s="24"/>
      <c r="K162" s="24"/>
      <c r="L162" s="170"/>
    </row>
    <row r="163" spans="3:12" x14ac:dyDescent="0.25">
      <c r="C163" s="180"/>
      <c r="D163" s="557" t="s">
        <v>164</v>
      </c>
      <c r="E163" s="569">
        <f>4.2*2</f>
        <v>8.4</v>
      </c>
      <c r="F163" s="36"/>
      <c r="G163" s="24"/>
      <c r="H163" s="24"/>
      <c r="I163" s="24"/>
      <c r="J163" s="24"/>
      <c r="K163" s="24"/>
      <c r="L163" s="170"/>
    </row>
    <row r="164" spans="3:12" x14ac:dyDescent="0.25">
      <c r="C164" s="180"/>
      <c r="D164" s="557" t="s">
        <v>165</v>
      </c>
      <c r="E164" s="569">
        <v>0</v>
      </c>
      <c r="F164" s="36"/>
      <c r="G164" s="24"/>
      <c r="H164" s="24"/>
      <c r="I164" s="24"/>
      <c r="J164" s="24"/>
      <c r="K164" s="24"/>
      <c r="L164" s="170"/>
    </row>
    <row r="165" spans="3:12" x14ac:dyDescent="0.25">
      <c r="C165" s="180"/>
      <c r="D165" s="557" t="s">
        <v>167</v>
      </c>
      <c r="E165" s="569">
        <v>0</v>
      </c>
      <c r="F165" s="36"/>
      <c r="G165" s="24"/>
      <c r="H165" s="24"/>
      <c r="I165" s="24"/>
      <c r="J165" s="24"/>
      <c r="K165" s="24"/>
      <c r="L165" s="170"/>
    </row>
    <row r="166" spans="3:12" x14ac:dyDescent="0.25">
      <c r="C166" s="180"/>
      <c r="D166" s="557" t="s">
        <v>166</v>
      </c>
      <c r="E166" s="569">
        <v>0</v>
      </c>
      <c r="F166" s="36"/>
      <c r="G166" s="24"/>
      <c r="H166" s="24"/>
      <c r="I166" s="24"/>
      <c r="J166" s="24"/>
      <c r="K166" s="24"/>
      <c r="L166" s="170"/>
    </row>
    <row r="167" spans="3:12" x14ac:dyDescent="0.25">
      <c r="C167" s="180"/>
      <c r="D167" s="557" t="s">
        <v>120</v>
      </c>
      <c r="E167" s="569">
        <v>0</v>
      </c>
      <c r="F167" s="36"/>
      <c r="G167" s="24"/>
      <c r="H167" s="24"/>
      <c r="I167" s="24"/>
      <c r="J167" s="24"/>
      <c r="K167" s="24"/>
      <c r="L167" s="170"/>
    </row>
    <row r="168" spans="3:12" x14ac:dyDescent="0.25">
      <c r="C168" s="180"/>
      <c r="D168" s="557" t="s">
        <v>101</v>
      </c>
      <c r="E168" s="569">
        <f>1.8*0.8</f>
        <v>1.4400000000000002</v>
      </c>
      <c r="F168" s="36"/>
      <c r="G168" s="24"/>
      <c r="H168" s="24"/>
      <c r="I168" s="24"/>
      <c r="J168" s="24"/>
      <c r="K168" s="24"/>
      <c r="L168" s="170"/>
    </row>
    <row r="169" spans="3:12" x14ac:dyDescent="0.25">
      <c r="C169" s="180"/>
      <c r="D169" s="557" t="s">
        <v>168</v>
      </c>
      <c r="E169" s="569">
        <v>0</v>
      </c>
      <c r="F169" s="36"/>
      <c r="G169" s="24"/>
      <c r="H169" s="24"/>
      <c r="I169" s="24"/>
      <c r="J169" s="24"/>
      <c r="K169" s="24"/>
      <c r="L169" s="170"/>
    </row>
    <row r="170" spans="3:12" x14ac:dyDescent="0.25">
      <c r="C170" s="180"/>
      <c r="D170" s="557" t="s">
        <v>169</v>
      </c>
      <c r="E170" s="569">
        <v>0</v>
      </c>
      <c r="F170" s="36"/>
      <c r="G170" s="24"/>
      <c r="H170" s="24"/>
      <c r="I170" s="24"/>
      <c r="J170" s="24"/>
      <c r="K170" s="24"/>
      <c r="L170" s="170"/>
    </row>
    <row r="171" spans="3:12" x14ac:dyDescent="0.25">
      <c r="C171" s="180"/>
      <c r="D171" s="557" t="s">
        <v>85</v>
      </c>
      <c r="E171" s="569">
        <v>0</v>
      </c>
      <c r="F171" s="36"/>
      <c r="G171" s="24"/>
      <c r="H171" s="24"/>
      <c r="I171" s="24"/>
      <c r="J171" s="24"/>
      <c r="K171" s="24"/>
      <c r="L171" s="170"/>
    </row>
    <row r="172" spans="3:12" x14ac:dyDescent="0.25">
      <c r="C172" s="180"/>
      <c r="D172" s="557" t="s">
        <v>170</v>
      </c>
      <c r="E172" s="569">
        <v>0</v>
      </c>
      <c r="F172" s="36"/>
      <c r="G172" s="24"/>
      <c r="H172" s="24"/>
      <c r="I172" s="24"/>
      <c r="J172" s="24"/>
      <c r="K172" s="24"/>
      <c r="L172" s="170"/>
    </row>
    <row r="173" spans="3:12" x14ac:dyDescent="0.25">
      <c r="C173" s="180"/>
      <c r="D173" s="557" t="s">
        <v>176</v>
      </c>
      <c r="E173" s="569">
        <f>1.8*0.8</f>
        <v>1.4400000000000002</v>
      </c>
      <c r="F173" s="36"/>
      <c r="G173" s="24"/>
      <c r="H173" s="24"/>
      <c r="I173" s="24"/>
      <c r="J173" s="24"/>
      <c r="K173" s="24"/>
      <c r="L173" s="170"/>
    </row>
    <row r="174" spans="3:12" x14ac:dyDescent="0.25">
      <c r="C174" s="180"/>
      <c r="D174" s="557" t="s">
        <v>171</v>
      </c>
      <c r="E174" s="569">
        <v>0</v>
      </c>
      <c r="F174" s="36"/>
      <c r="G174" s="24"/>
      <c r="H174" s="24"/>
      <c r="I174" s="24"/>
      <c r="J174" s="24"/>
      <c r="K174" s="24"/>
      <c r="L174" s="170"/>
    </row>
    <row r="175" spans="3:12" x14ac:dyDescent="0.25">
      <c r="C175" s="180"/>
      <c r="D175" s="557" t="s">
        <v>172</v>
      </c>
      <c r="E175" s="569">
        <f>3.45*2</f>
        <v>6.9</v>
      </c>
      <c r="F175" s="36"/>
      <c r="G175" s="24"/>
      <c r="H175" s="24"/>
      <c r="I175" s="24"/>
      <c r="J175" s="24"/>
      <c r="K175" s="24"/>
      <c r="L175" s="170"/>
    </row>
    <row r="176" spans="3:12" x14ac:dyDescent="0.25">
      <c r="C176" s="180"/>
      <c r="D176" s="557" t="s">
        <v>177</v>
      </c>
      <c r="E176" s="569">
        <v>0</v>
      </c>
      <c r="F176" s="36"/>
      <c r="G176" s="24"/>
      <c r="H176" s="24"/>
      <c r="I176" s="24"/>
      <c r="J176" s="24"/>
      <c r="K176" s="24"/>
      <c r="L176" s="170"/>
    </row>
    <row r="177" spans="3:12" x14ac:dyDescent="0.25">
      <c r="C177" s="180"/>
      <c r="D177" s="557" t="s">
        <v>173</v>
      </c>
      <c r="E177" s="569">
        <f>(2*5.8*2)+(2.26*2)</f>
        <v>27.72</v>
      </c>
      <c r="F177" s="36"/>
      <c r="G177" s="24"/>
      <c r="H177" s="24"/>
      <c r="I177" s="24"/>
      <c r="J177" s="24"/>
      <c r="K177" s="24"/>
      <c r="L177" s="170"/>
    </row>
    <row r="178" spans="3:12" x14ac:dyDescent="0.25">
      <c r="C178" s="180"/>
      <c r="D178" s="557" t="s">
        <v>108</v>
      </c>
      <c r="E178" s="569">
        <v>0</v>
      </c>
      <c r="F178" s="36"/>
      <c r="G178" s="24"/>
      <c r="H178" s="24"/>
      <c r="I178" s="24"/>
      <c r="J178" s="24"/>
      <c r="K178" s="24"/>
      <c r="L178" s="170"/>
    </row>
    <row r="179" spans="3:12" x14ac:dyDescent="0.25">
      <c r="C179" s="180"/>
      <c r="D179" s="557" t="s">
        <v>174</v>
      </c>
      <c r="E179" s="569">
        <v>0</v>
      </c>
      <c r="F179" s="36"/>
      <c r="G179" s="24"/>
      <c r="H179" s="24"/>
      <c r="I179" s="24"/>
      <c r="J179" s="24"/>
      <c r="K179" s="24"/>
      <c r="L179" s="170"/>
    </row>
    <row r="180" spans="3:12" x14ac:dyDescent="0.25">
      <c r="C180" s="180"/>
      <c r="D180" s="557" t="s">
        <v>175</v>
      </c>
      <c r="E180" s="569">
        <v>0</v>
      </c>
      <c r="F180" s="36"/>
      <c r="G180" s="24"/>
      <c r="H180" s="24"/>
      <c r="I180" s="24"/>
      <c r="J180" s="24"/>
      <c r="K180" s="24"/>
      <c r="L180" s="170"/>
    </row>
    <row r="181" spans="3:12" x14ac:dyDescent="0.25">
      <c r="C181" s="180"/>
      <c r="D181" s="557" t="s">
        <v>178</v>
      </c>
      <c r="E181" s="569">
        <f>5.8*2</f>
        <v>11.6</v>
      </c>
      <c r="F181" s="36"/>
      <c r="G181" s="24"/>
      <c r="H181" s="24"/>
      <c r="I181" s="24"/>
      <c r="J181" s="24"/>
      <c r="K181" s="24"/>
      <c r="L181" s="170"/>
    </row>
    <row r="182" spans="3:12" x14ac:dyDescent="0.25">
      <c r="C182" s="180"/>
      <c r="D182" s="557" t="s">
        <v>108</v>
      </c>
      <c r="E182" s="569">
        <v>0</v>
      </c>
      <c r="F182" s="36"/>
      <c r="G182" s="24"/>
      <c r="H182" s="24"/>
      <c r="I182" s="24"/>
      <c r="J182" s="24"/>
      <c r="K182" s="24"/>
      <c r="L182" s="170"/>
    </row>
    <row r="183" spans="3:12" x14ac:dyDescent="0.25">
      <c r="C183" s="180"/>
      <c r="D183" s="557" t="s">
        <v>179</v>
      </c>
      <c r="E183" s="569">
        <f t="shared" ref="E183" si="0">5.8*2</f>
        <v>11.6</v>
      </c>
      <c r="F183" s="36"/>
      <c r="G183" s="24"/>
      <c r="H183" s="24"/>
      <c r="I183" s="24"/>
      <c r="J183" s="24"/>
      <c r="K183" s="24"/>
      <c r="L183" s="170"/>
    </row>
    <row r="184" spans="3:12" x14ac:dyDescent="0.25">
      <c r="C184" s="180"/>
      <c r="D184" s="557" t="s">
        <v>108</v>
      </c>
      <c r="E184" s="569">
        <v>0</v>
      </c>
      <c r="F184" s="36"/>
      <c r="G184" s="24"/>
      <c r="H184" s="24"/>
      <c r="I184" s="24"/>
      <c r="J184" s="24"/>
      <c r="K184" s="24"/>
      <c r="L184" s="170"/>
    </row>
    <row r="185" spans="3:12" x14ac:dyDescent="0.25">
      <c r="C185" s="180"/>
      <c r="D185" s="557" t="s">
        <v>181</v>
      </c>
      <c r="E185" s="569">
        <f>5*2</f>
        <v>10</v>
      </c>
      <c r="F185" s="36"/>
      <c r="G185" s="24"/>
      <c r="H185" s="24"/>
      <c r="I185" s="24"/>
      <c r="J185" s="24"/>
      <c r="K185" s="24"/>
      <c r="L185" s="170"/>
    </row>
    <row r="186" spans="3:12" x14ac:dyDescent="0.25">
      <c r="C186" s="180"/>
      <c r="D186" s="557" t="s">
        <v>108</v>
      </c>
      <c r="E186" s="569">
        <v>0</v>
      </c>
      <c r="F186" s="36"/>
      <c r="G186" s="24"/>
      <c r="H186" s="24"/>
      <c r="I186" s="24"/>
      <c r="J186" s="24"/>
      <c r="K186" s="24"/>
      <c r="L186" s="170"/>
    </row>
    <row r="187" spans="3:12" x14ac:dyDescent="0.25">
      <c r="C187" s="180"/>
      <c r="D187" s="557" t="s">
        <v>182</v>
      </c>
      <c r="E187" s="569">
        <f>5*2</f>
        <v>10</v>
      </c>
      <c r="F187" s="36"/>
      <c r="G187" s="24"/>
      <c r="H187" s="24"/>
      <c r="I187" s="24"/>
      <c r="J187" s="24"/>
      <c r="K187" s="24"/>
      <c r="L187" s="170"/>
    </row>
    <row r="188" spans="3:12" x14ac:dyDescent="0.25">
      <c r="C188" s="180"/>
      <c r="D188" s="557" t="s">
        <v>108</v>
      </c>
      <c r="E188" s="569">
        <v>0</v>
      </c>
      <c r="F188" s="36"/>
      <c r="G188" s="24"/>
      <c r="H188" s="24"/>
      <c r="I188" s="24"/>
      <c r="J188" s="24"/>
      <c r="K188" s="24"/>
      <c r="L188" s="170"/>
    </row>
    <row r="189" spans="3:12" x14ac:dyDescent="0.25">
      <c r="C189" s="180"/>
      <c r="D189" s="557" t="s">
        <v>183</v>
      </c>
      <c r="E189" s="569">
        <f>5*2</f>
        <v>10</v>
      </c>
      <c r="F189" s="36"/>
      <c r="G189" s="24"/>
      <c r="H189" s="24"/>
      <c r="I189" s="24"/>
      <c r="J189" s="24"/>
      <c r="K189" s="24"/>
      <c r="L189" s="170"/>
    </row>
    <row r="190" spans="3:12" x14ac:dyDescent="0.25">
      <c r="C190" s="180"/>
      <c r="D190" s="557" t="s">
        <v>108</v>
      </c>
      <c r="E190" s="569">
        <v>0</v>
      </c>
      <c r="F190" s="36"/>
      <c r="G190" s="24"/>
      <c r="H190" s="24"/>
      <c r="I190" s="24"/>
      <c r="J190" s="24"/>
      <c r="K190" s="24"/>
      <c r="L190" s="170"/>
    </row>
    <row r="191" spans="3:12" x14ac:dyDescent="0.25">
      <c r="C191" s="180"/>
      <c r="D191" s="557" t="s">
        <v>184</v>
      </c>
      <c r="E191" s="569">
        <f>5*2</f>
        <v>10</v>
      </c>
      <c r="F191" s="36"/>
      <c r="G191" s="24"/>
      <c r="H191" s="24"/>
      <c r="I191" s="24"/>
      <c r="J191" s="24"/>
      <c r="K191" s="24"/>
      <c r="L191" s="170"/>
    </row>
    <row r="192" spans="3:12" x14ac:dyDescent="0.25">
      <c r="C192" s="180"/>
      <c r="D192" s="557" t="s">
        <v>108</v>
      </c>
      <c r="E192" s="569">
        <v>0</v>
      </c>
      <c r="F192" s="36"/>
      <c r="G192" s="24"/>
      <c r="H192" s="24"/>
      <c r="I192" s="24"/>
      <c r="J192" s="24"/>
      <c r="K192" s="24"/>
      <c r="L192" s="170"/>
    </row>
    <row r="193" spans="3:12" x14ac:dyDescent="0.25">
      <c r="C193" s="180"/>
      <c r="D193" s="557" t="s">
        <v>722</v>
      </c>
      <c r="E193" s="569">
        <v>114.64</v>
      </c>
      <c r="F193" s="36"/>
      <c r="G193" s="24"/>
      <c r="H193" s="24"/>
      <c r="I193" s="24"/>
      <c r="J193" s="24"/>
      <c r="K193" s="24"/>
      <c r="L193" s="170"/>
    </row>
    <row r="194" spans="3:12" x14ac:dyDescent="0.25">
      <c r="C194" s="180"/>
      <c r="D194" s="588" t="s">
        <v>217</v>
      </c>
      <c r="E194" s="582">
        <f>SUM(E163:E193)</f>
        <v>223.74</v>
      </c>
      <c r="F194" s="36"/>
      <c r="G194" s="24"/>
      <c r="H194" s="24"/>
      <c r="I194" s="24"/>
      <c r="J194" s="24"/>
      <c r="K194" s="24"/>
      <c r="L194" s="170"/>
    </row>
    <row r="195" spans="3:12" x14ac:dyDescent="0.25">
      <c r="C195" s="179"/>
      <c r="D195" s="25"/>
      <c r="E195" s="25"/>
      <c r="F195" s="24"/>
      <c r="G195" s="24"/>
      <c r="H195" s="24"/>
      <c r="I195" s="24"/>
      <c r="J195" s="24"/>
      <c r="K195" s="24"/>
      <c r="L195" s="170"/>
    </row>
    <row r="196" spans="3:12" x14ac:dyDescent="0.25">
      <c r="C196" s="685" t="s">
        <v>742</v>
      </c>
      <c r="D196" s="1102" t="s">
        <v>743</v>
      </c>
      <c r="E196" s="1102"/>
      <c r="F196" s="1102"/>
      <c r="G196" s="1102"/>
      <c r="H196" s="1102"/>
      <c r="I196" s="1102"/>
      <c r="J196" s="1102"/>
      <c r="K196" s="520" t="s">
        <v>5</v>
      </c>
      <c r="L196" s="560">
        <f>E230</f>
        <v>223.74</v>
      </c>
    </row>
    <row r="197" spans="3:12" x14ac:dyDescent="0.25">
      <c r="C197" s="570"/>
      <c r="D197" s="39"/>
      <c r="E197" s="39"/>
      <c r="F197" s="25"/>
      <c r="G197" s="25"/>
      <c r="H197" s="25"/>
      <c r="I197" s="25"/>
      <c r="J197" s="25"/>
      <c r="K197" s="25"/>
      <c r="L197" s="169"/>
    </row>
    <row r="198" spans="3:12" x14ac:dyDescent="0.25">
      <c r="C198" s="180"/>
      <c r="D198" s="588" t="s">
        <v>106</v>
      </c>
      <c r="E198" s="588" t="s">
        <v>218</v>
      </c>
      <c r="F198" s="36"/>
      <c r="G198" s="24"/>
      <c r="H198" s="24"/>
      <c r="I198" s="24"/>
      <c r="J198" s="24"/>
      <c r="K198" s="24"/>
      <c r="L198" s="170"/>
    </row>
    <row r="199" spans="3:12" x14ac:dyDescent="0.25">
      <c r="C199" s="180"/>
      <c r="D199" s="557" t="s">
        <v>164</v>
      </c>
      <c r="E199" s="569">
        <f>4.2*2</f>
        <v>8.4</v>
      </c>
      <c r="F199" s="36"/>
      <c r="G199" s="24"/>
      <c r="H199" s="24"/>
      <c r="I199" s="24"/>
      <c r="J199" s="24"/>
      <c r="K199" s="24"/>
      <c r="L199" s="170"/>
    </row>
    <row r="200" spans="3:12" x14ac:dyDescent="0.25">
      <c r="C200" s="180"/>
      <c r="D200" s="557" t="s">
        <v>165</v>
      </c>
      <c r="E200" s="569">
        <v>0</v>
      </c>
      <c r="F200" s="36"/>
      <c r="G200" s="24"/>
      <c r="H200" s="24"/>
      <c r="I200" s="24"/>
      <c r="J200" s="24"/>
      <c r="K200" s="24"/>
      <c r="L200" s="170"/>
    </row>
    <row r="201" spans="3:12" x14ac:dyDescent="0.25">
      <c r="C201" s="180"/>
      <c r="D201" s="557" t="s">
        <v>167</v>
      </c>
      <c r="E201" s="569">
        <v>0</v>
      </c>
      <c r="F201" s="36"/>
      <c r="G201" s="24"/>
      <c r="H201" s="24"/>
      <c r="I201" s="24"/>
      <c r="J201" s="24"/>
      <c r="K201" s="24"/>
      <c r="L201" s="170"/>
    </row>
    <row r="202" spans="3:12" x14ac:dyDescent="0.25">
      <c r="C202" s="180"/>
      <c r="D202" s="557" t="s">
        <v>166</v>
      </c>
      <c r="E202" s="569">
        <v>0</v>
      </c>
      <c r="F202" s="36"/>
      <c r="G202" s="24"/>
      <c r="H202" s="24"/>
      <c r="I202" s="24"/>
      <c r="J202" s="24"/>
      <c r="K202" s="24"/>
      <c r="L202" s="170"/>
    </row>
    <row r="203" spans="3:12" x14ac:dyDescent="0.25">
      <c r="C203" s="180"/>
      <c r="D203" s="557" t="s">
        <v>120</v>
      </c>
      <c r="E203" s="569">
        <v>0</v>
      </c>
      <c r="F203" s="36"/>
      <c r="G203" s="24"/>
      <c r="H203" s="24"/>
      <c r="I203" s="24"/>
      <c r="J203" s="24"/>
      <c r="K203" s="24"/>
      <c r="L203" s="170"/>
    </row>
    <row r="204" spans="3:12" x14ac:dyDescent="0.25">
      <c r="C204" s="180"/>
      <c r="D204" s="557" t="s">
        <v>101</v>
      </c>
      <c r="E204" s="569">
        <f>1.8*0.8</f>
        <v>1.4400000000000002</v>
      </c>
      <c r="F204" s="36"/>
      <c r="G204" s="24"/>
      <c r="H204" s="24"/>
      <c r="I204" s="24"/>
      <c r="J204" s="24"/>
      <c r="K204" s="24"/>
      <c r="L204" s="170"/>
    </row>
    <row r="205" spans="3:12" x14ac:dyDescent="0.25">
      <c r="C205" s="180"/>
      <c r="D205" s="557" t="s">
        <v>168</v>
      </c>
      <c r="E205" s="569">
        <v>0</v>
      </c>
      <c r="F205" s="36"/>
      <c r="G205" s="24"/>
      <c r="H205" s="24"/>
      <c r="I205" s="24"/>
      <c r="J205" s="24"/>
      <c r="K205" s="24"/>
      <c r="L205" s="170"/>
    </row>
    <row r="206" spans="3:12" x14ac:dyDescent="0.25">
      <c r="C206" s="180"/>
      <c r="D206" s="557" t="s">
        <v>169</v>
      </c>
      <c r="E206" s="569">
        <v>0</v>
      </c>
      <c r="F206" s="36"/>
      <c r="G206" s="24"/>
      <c r="H206" s="24"/>
      <c r="I206" s="24"/>
      <c r="J206" s="24"/>
      <c r="K206" s="24"/>
      <c r="L206" s="170"/>
    </row>
    <row r="207" spans="3:12" x14ac:dyDescent="0.25">
      <c r="C207" s="180"/>
      <c r="D207" s="557" t="s">
        <v>85</v>
      </c>
      <c r="E207" s="569">
        <v>0</v>
      </c>
      <c r="F207" s="36"/>
      <c r="G207" s="24"/>
      <c r="H207" s="24"/>
      <c r="I207" s="24"/>
      <c r="J207" s="24"/>
      <c r="K207" s="24"/>
      <c r="L207" s="170"/>
    </row>
    <row r="208" spans="3:12" x14ac:dyDescent="0.25">
      <c r="C208" s="180"/>
      <c r="D208" s="557" t="s">
        <v>170</v>
      </c>
      <c r="E208" s="569">
        <v>0</v>
      </c>
      <c r="F208" s="36"/>
      <c r="G208" s="24"/>
      <c r="H208" s="24"/>
      <c r="I208" s="24"/>
      <c r="J208" s="24"/>
      <c r="K208" s="24"/>
      <c r="L208" s="170"/>
    </row>
    <row r="209" spans="3:12" x14ac:dyDescent="0.25">
      <c r="C209" s="180"/>
      <c r="D209" s="557" t="s">
        <v>176</v>
      </c>
      <c r="E209" s="569">
        <f>1.8*0.8</f>
        <v>1.4400000000000002</v>
      </c>
      <c r="F209" s="36"/>
      <c r="G209" s="24"/>
      <c r="H209" s="24"/>
      <c r="I209" s="24"/>
      <c r="J209" s="24"/>
      <c r="K209" s="24"/>
      <c r="L209" s="170"/>
    </row>
    <row r="210" spans="3:12" x14ac:dyDescent="0.25">
      <c r="C210" s="180"/>
      <c r="D210" s="557" t="s">
        <v>171</v>
      </c>
      <c r="E210" s="569">
        <v>0</v>
      </c>
      <c r="F210" s="36"/>
      <c r="G210" s="24"/>
      <c r="H210" s="24"/>
      <c r="I210" s="24"/>
      <c r="J210" s="24"/>
      <c r="K210" s="24"/>
      <c r="L210" s="170"/>
    </row>
    <row r="211" spans="3:12" x14ac:dyDescent="0.25">
      <c r="C211" s="180"/>
      <c r="D211" s="557" t="s">
        <v>172</v>
      </c>
      <c r="E211" s="569">
        <f>3.45*2</f>
        <v>6.9</v>
      </c>
      <c r="F211" s="36"/>
      <c r="G211" s="24"/>
      <c r="H211" s="24"/>
      <c r="I211" s="24"/>
      <c r="J211" s="24"/>
      <c r="K211" s="24"/>
      <c r="L211" s="170"/>
    </row>
    <row r="212" spans="3:12" x14ac:dyDescent="0.25">
      <c r="C212" s="180"/>
      <c r="D212" s="557" t="s">
        <v>177</v>
      </c>
      <c r="E212" s="569">
        <v>0</v>
      </c>
      <c r="F212" s="36"/>
      <c r="G212" s="24"/>
      <c r="H212" s="24"/>
      <c r="I212" s="24"/>
      <c r="J212" s="24"/>
      <c r="K212" s="24"/>
      <c r="L212" s="170"/>
    </row>
    <row r="213" spans="3:12" x14ac:dyDescent="0.25">
      <c r="C213" s="180"/>
      <c r="D213" s="557" t="s">
        <v>173</v>
      </c>
      <c r="E213" s="569">
        <f>(2*5.8*2)+(2.26*2)</f>
        <v>27.72</v>
      </c>
      <c r="F213" s="36"/>
      <c r="G213" s="24"/>
      <c r="H213" s="24"/>
      <c r="I213" s="24"/>
      <c r="J213" s="24"/>
      <c r="K213" s="24"/>
      <c r="L213" s="170"/>
    </row>
    <row r="214" spans="3:12" x14ac:dyDescent="0.25">
      <c r="C214" s="180"/>
      <c r="D214" s="557" t="s">
        <v>108</v>
      </c>
      <c r="E214" s="569">
        <v>0</v>
      </c>
      <c r="F214" s="36"/>
      <c r="G214" s="24"/>
      <c r="H214" s="24"/>
      <c r="I214" s="24"/>
      <c r="J214" s="24"/>
      <c r="K214" s="24"/>
      <c r="L214" s="170"/>
    </row>
    <row r="215" spans="3:12" x14ac:dyDescent="0.25">
      <c r="C215" s="180"/>
      <c r="D215" s="557" t="s">
        <v>174</v>
      </c>
      <c r="E215" s="569">
        <v>0</v>
      </c>
      <c r="F215" s="36"/>
      <c r="G215" s="24"/>
      <c r="H215" s="24"/>
      <c r="I215" s="24"/>
      <c r="J215" s="24"/>
      <c r="K215" s="24"/>
      <c r="L215" s="170"/>
    </row>
    <row r="216" spans="3:12" x14ac:dyDescent="0.25">
      <c r="C216" s="180"/>
      <c r="D216" s="557" t="s">
        <v>175</v>
      </c>
      <c r="E216" s="569">
        <v>0</v>
      </c>
      <c r="F216" s="36"/>
      <c r="G216" s="24"/>
      <c r="H216" s="24"/>
      <c r="I216" s="24"/>
      <c r="J216" s="24"/>
      <c r="K216" s="24"/>
      <c r="L216" s="170"/>
    </row>
    <row r="217" spans="3:12" x14ac:dyDescent="0.25">
      <c r="C217" s="180"/>
      <c r="D217" s="557" t="s">
        <v>178</v>
      </c>
      <c r="E217" s="569">
        <f>5.8*2</f>
        <v>11.6</v>
      </c>
      <c r="F217" s="36"/>
      <c r="G217" s="24"/>
      <c r="H217" s="24"/>
      <c r="I217" s="24"/>
      <c r="J217" s="24"/>
      <c r="K217" s="24"/>
      <c r="L217" s="170"/>
    </row>
    <row r="218" spans="3:12" x14ac:dyDescent="0.25">
      <c r="C218" s="180"/>
      <c r="D218" s="557" t="s">
        <v>108</v>
      </c>
      <c r="E218" s="569">
        <v>0</v>
      </c>
      <c r="F218" s="36"/>
      <c r="G218" s="24"/>
      <c r="H218" s="24"/>
      <c r="I218" s="24"/>
      <c r="J218" s="24"/>
      <c r="K218" s="24"/>
      <c r="L218" s="170"/>
    </row>
    <row r="219" spans="3:12" x14ac:dyDescent="0.25">
      <c r="C219" s="180"/>
      <c r="D219" s="557" t="s">
        <v>179</v>
      </c>
      <c r="E219" s="569">
        <f t="shared" ref="E219" si="1">5.8*2</f>
        <v>11.6</v>
      </c>
      <c r="F219" s="36"/>
      <c r="G219" s="24"/>
      <c r="H219" s="24"/>
      <c r="I219" s="24"/>
      <c r="J219" s="24"/>
      <c r="K219" s="24"/>
      <c r="L219" s="170"/>
    </row>
    <row r="220" spans="3:12" x14ac:dyDescent="0.25">
      <c r="C220" s="180"/>
      <c r="D220" s="557" t="s">
        <v>108</v>
      </c>
      <c r="E220" s="569">
        <v>0</v>
      </c>
      <c r="F220" s="36"/>
      <c r="G220" s="24"/>
      <c r="H220" s="24"/>
      <c r="I220" s="24"/>
      <c r="J220" s="24"/>
      <c r="K220" s="24"/>
      <c r="L220" s="170"/>
    </row>
    <row r="221" spans="3:12" x14ac:dyDescent="0.25">
      <c r="C221" s="180"/>
      <c r="D221" s="557" t="s">
        <v>181</v>
      </c>
      <c r="E221" s="569">
        <f>5*2</f>
        <v>10</v>
      </c>
      <c r="F221" s="36"/>
      <c r="G221" s="24"/>
      <c r="H221" s="24"/>
      <c r="I221" s="24"/>
      <c r="J221" s="24"/>
      <c r="K221" s="24"/>
      <c r="L221" s="170"/>
    </row>
    <row r="222" spans="3:12" x14ac:dyDescent="0.25">
      <c r="C222" s="180"/>
      <c r="D222" s="557" t="s">
        <v>108</v>
      </c>
      <c r="E222" s="569">
        <v>0</v>
      </c>
      <c r="F222" s="36"/>
      <c r="G222" s="24"/>
      <c r="H222" s="24"/>
      <c r="I222" s="24"/>
      <c r="J222" s="24"/>
      <c r="K222" s="24"/>
      <c r="L222" s="170"/>
    </row>
    <row r="223" spans="3:12" x14ac:dyDescent="0.25">
      <c r="C223" s="180"/>
      <c r="D223" s="557" t="s">
        <v>182</v>
      </c>
      <c r="E223" s="569">
        <f>5*2</f>
        <v>10</v>
      </c>
      <c r="F223" s="36"/>
      <c r="G223" s="24"/>
      <c r="H223" s="24"/>
      <c r="I223" s="24"/>
      <c r="J223" s="24"/>
      <c r="K223" s="24"/>
      <c r="L223" s="170"/>
    </row>
    <row r="224" spans="3:12" x14ac:dyDescent="0.25">
      <c r="C224" s="180"/>
      <c r="D224" s="557" t="s">
        <v>108</v>
      </c>
      <c r="E224" s="569">
        <v>0</v>
      </c>
      <c r="F224" s="36"/>
      <c r="G224" s="24"/>
      <c r="H224" s="24"/>
      <c r="I224" s="24"/>
      <c r="J224" s="24"/>
      <c r="K224" s="24"/>
      <c r="L224" s="170"/>
    </row>
    <row r="225" spans="3:12" x14ac:dyDescent="0.25">
      <c r="C225" s="180"/>
      <c r="D225" s="557" t="s">
        <v>183</v>
      </c>
      <c r="E225" s="569">
        <f>5*2</f>
        <v>10</v>
      </c>
      <c r="F225" s="36"/>
      <c r="G225" s="24"/>
      <c r="H225" s="24"/>
      <c r="I225" s="24"/>
      <c r="J225" s="24"/>
      <c r="K225" s="24"/>
      <c r="L225" s="170"/>
    </row>
    <row r="226" spans="3:12" x14ac:dyDescent="0.25">
      <c r="C226" s="180"/>
      <c r="D226" s="557" t="s">
        <v>108</v>
      </c>
      <c r="E226" s="569">
        <v>0</v>
      </c>
      <c r="F226" s="36"/>
      <c r="G226" s="24"/>
      <c r="H226" s="24"/>
      <c r="I226" s="24"/>
      <c r="J226" s="24"/>
      <c r="K226" s="24"/>
      <c r="L226" s="170"/>
    </row>
    <row r="227" spans="3:12" x14ac:dyDescent="0.25">
      <c r="C227" s="180"/>
      <c r="D227" s="557" t="s">
        <v>184</v>
      </c>
      <c r="E227" s="569">
        <f>5*2</f>
        <v>10</v>
      </c>
      <c r="F227" s="36"/>
      <c r="G227" s="24"/>
      <c r="H227" s="24"/>
      <c r="I227" s="24"/>
      <c r="J227" s="24"/>
      <c r="K227" s="24"/>
      <c r="L227" s="170"/>
    </row>
    <row r="228" spans="3:12" x14ac:dyDescent="0.25">
      <c r="C228" s="180"/>
      <c r="D228" s="557" t="s">
        <v>108</v>
      </c>
      <c r="E228" s="569">
        <v>0</v>
      </c>
      <c r="F228" s="36"/>
      <c r="G228" s="24"/>
      <c r="H228" s="24"/>
      <c r="I228" s="24"/>
      <c r="J228" s="24"/>
      <c r="K228" s="24"/>
      <c r="L228" s="170"/>
    </row>
    <row r="229" spans="3:12" x14ac:dyDescent="0.25">
      <c r="C229" s="180"/>
      <c r="D229" s="557" t="s">
        <v>722</v>
      </c>
      <c r="E229" s="569">
        <v>114.64</v>
      </c>
      <c r="F229" s="36"/>
      <c r="G229" s="24"/>
      <c r="H229" s="24"/>
      <c r="I229" s="24"/>
      <c r="J229" s="24"/>
      <c r="K229" s="24"/>
      <c r="L229" s="170"/>
    </row>
    <row r="230" spans="3:12" x14ac:dyDescent="0.25">
      <c r="C230" s="180"/>
      <c r="D230" s="588" t="s">
        <v>217</v>
      </c>
      <c r="E230" s="582">
        <f>SUM(E199:E229)</f>
        <v>223.74</v>
      </c>
      <c r="F230" s="36"/>
      <c r="G230" s="24"/>
      <c r="H230" s="24"/>
      <c r="I230" s="24"/>
      <c r="J230" s="24"/>
      <c r="K230" s="24"/>
      <c r="L230" s="170"/>
    </row>
    <row r="231" spans="3:12" x14ac:dyDescent="0.25">
      <c r="C231" s="686"/>
      <c r="D231" s="684"/>
      <c r="E231" s="530"/>
      <c r="F231" s="24"/>
      <c r="G231" s="24"/>
      <c r="H231" s="444"/>
      <c r="I231" s="37"/>
      <c r="J231" s="24"/>
      <c r="K231" s="444"/>
      <c r="L231" s="170"/>
    </row>
    <row r="232" spans="3:12" x14ac:dyDescent="0.25">
      <c r="C232" s="179"/>
      <c r="D232" s="24"/>
      <c r="E232" s="24"/>
      <c r="F232" s="24"/>
      <c r="G232" s="24"/>
      <c r="H232" s="24"/>
      <c r="I232" s="24"/>
      <c r="J232" s="24"/>
      <c r="K232" s="24"/>
      <c r="L232" s="170"/>
    </row>
    <row r="233" spans="3:12" x14ac:dyDescent="0.25">
      <c r="C233" s="179"/>
      <c r="D233" s="24"/>
      <c r="E233" s="24"/>
      <c r="F233" s="24"/>
      <c r="G233" s="24"/>
      <c r="H233" s="24"/>
      <c r="I233" s="24"/>
      <c r="J233" s="24"/>
      <c r="K233" s="24"/>
      <c r="L233" s="170"/>
    </row>
    <row r="234" spans="3:12" x14ac:dyDescent="0.25">
      <c r="C234" s="686"/>
      <c r="D234" s="24"/>
      <c r="E234" s="24"/>
      <c r="F234" s="24"/>
      <c r="G234" s="24"/>
      <c r="H234" s="24"/>
      <c r="I234" s="24"/>
      <c r="J234" s="24"/>
      <c r="K234" s="24"/>
      <c r="L234" s="170"/>
    </row>
    <row r="235" spans="3:12" ht="15.75" thickBot="1" x14ac:dyDescent="0.3">
      <c r="C235" s="181"/>
      <c r="D235" s="182"/>
      <c r="E235" s="182"/>
      <c r="F235" s="182"/>
      <c r="G235" s="182"/>
      <c r="H235" s="182"/>
      <c r="I235" s="182"/>
      <c r="J235" s="182"/>
      <c r="K235" s="182"/>
      <c r="L235" s="183"/>
    </row>
    <row r="236" spans="3:12" x14ac:dyDescent="0.25">
      <c r="C236" s="25"/>
      <c r="D236" s="25"/>
      <c r="E236" s="25"/>
      <c r="F236" s="25"/>
      <c r="G236" s="25"/>
      <c r="H236" s="25"/>
      <c r="I236" s="25"/>
      <c r="J236" s="25"/>
      <c r="K236" s="25"/>
      <c r="L236" s="25"/>
    </row>
    <row r="237" spans="3:12" x14ac:dyDescent="0.25">
      <c r="C237" s="24"/>
      <c r="D237" s="24"/>
      <c r="E237" s="24"/>
      <c r="F237" s="24"/>
      <c r="G237" s="24"/>
      <c r="H237" s="24"/>
      <c r="I237" s="24"/>
      <c r="J237" s="24"/>
      <c r="K237" s="24"/>
      <c r="L237" s="24"/>
    </row>
    <row r="238" spans="3:12" x14ac:dyDescent="0.25">
      <c r="C238" s="24"/>
      <c r="D238" s="24"/>
      <c r="E238" s="24"/>
      <c r="F238" s="24"/>
      <c r="G238" s="24"/>
      <c r="H238" s="24"/>
      <c r="I238" s="24"/>
      <c r="J238" s="24"/>
      <c r="K238" s="24"/>
      <c r="L238" s="24"/>
    </row>
    <row r="239" spans="3:12" x14ac:dyDescent="0.25">
      <c r="C239" s="24"/>
      <c r="D239" s="24"/>
      <c r="E239" s="24"/>
      <c r="F239" s="24"/>
      <c r="G239" s="24"/>
      <c r="H239" s="24"/>
      <c r="I239" s="24"/>
      <c r="J239" s="24"/>
      <c r="K239" s="24"/>
      <c r="L239" s="24"/>
    </row>
    <row r="240" spans="3:12" x14ac:dyDescent="0.25">
      <c r="C240" s="24"/>
      <c r="D240" s="24"/>
      <c r="E240" s="24"/>
      <c r="F240" s="24"/>
      <c r="G240" s="24"/>
      <c r="H240" s="24"/>
      <c r="I240" s="24"/>
      <c r="J240" s="24"/>
      <c r="K240" s="24"/>
      <c r="L240" s="24"/>
    </row>
    <row r="241" spans="3:12" x14ac:dyDescent="0.25">
      <c r="C241" s="24"/>
      <c r="D241" s="24"/>
      <c r="E241" s="24"/>
      <c r="F241" s="24"/>
      <c r="G241" s="24"/>
      <c r="H241" s="24"/>
      <c r="I241" s="24"/>
      <c r="J241" s="24"/>
      <c r="K241" s="24"/>
      <c r="L241" s="24"/>
    </row>
    <row r="242" spans="3:12" x14ac:dyDescent="0.25">
      <c r="C242" s="24"/>
      <c r="D242" s="24"/>
      <c r="E242" s="24"/>
      <c r="F242" s="24"/>
      <c r="G242" s="24"/>
      <c r="H242" s="24"/>
      <c r="I242" s="24"/>
      <c r="J242" s="24"/>
      <c r="K242" s="24"/>
      <c r="L242" s="24"/>
    </row>
    <row r="243" spans="3:12" x14ac:dyDescent="0.25">
      <c r="C243" s="24"/>
      <c r="D243" s="24"/>
      <c r="E243" s="24"/>
      <c r="F243" s="24"/>
      <c r="G243" s="24"/>
      <c r="H243" s="24"/>
      <c r="I243" s="24"/>
      <c r="J243" s="24"/>
      <c r="K243" s="24"/>
      <c r="L243" s="24"/>
    </row>
  </sheetData>
  <mergeCells count="27">
    <mergeCell ref="D152:J152"/>
    <mergeCell ref="D2:I2"/>
    <mergeCell ref="C3:L3"/>
    <mergeCell ref="D122:J122"/>
    <mergeCell ref="D107:J107"/>
    <mergeCell ref="D4:J4"/>
    <mergeCell ref="D26:J26"/>
    <mergeCell ref="D30:J30"/>
    <mergeCell ref="D65:J65"/>
    <mergeCell ref="D74:J74"/>
    <mergeCell ref="D79:J79"/>
    <mergeCell ref="D196:J196"/>
    <mergeCell ref="D160:J160"/>
    <mergeCell ref="D154:J154"/>
    <mergeCell ref="D84:J84"/>
    <mergeCell ref="D89:J89"/>
    <mergeCell ref="D94:J94"/>
    <mergeCell ref="D101:J101"/>
    <mergeCell ref="D113:J113"/>
    <mergeCell ref="D134:J134"/>
    <mergeCell ref="D138:J138"/>
    <mergeCell ref="D140:J140"/>
    <mergeCell ref="D142:J142"/>
    <mergeCell ref="D144:J144"/>
    <mergeCell ref="D146:J146"/>
    <mergeCell ref="D148:J148"/>
    <mergeCell ref="D150:J150"/>
  </mergeCells>
  <phoneticPr fontId="7" type="noConversion"/>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2</vt:i4>
      </vt:variant>
    </vt:vector>
  </HeadingPairs>
  <TitlesOfParts>
    <vt:vector size="11" baseType="lpstr">
      <vt:lpstr>COMPLEMENTO</vt:lpstr>
      <vt:lpstr>ADMINISTRAÇÃO</vt:lpstr>
      <vt:lpstr>REFORÇO ESTRUTURAL</vt:lpstr>
      <vt:lpstr>MEMORIA ALA B E C</vt:lpstr>
      <vt:lpstr>MEMORIA CENTRO DE IMAGEM</vt:lpstr>
      <vt:lpstr>MEMORIA CME</vt:lpstr>
      <vt:lpstr>MEMORIA CTI</vt:lpstr>
      <vt:lpstr>MEMORIA LABORATORIO</vt:lpstr>
      <vt:lpstr>MEMORIA PATRIMONIO</vt:lpstr>
      <vt:lpstr>COMPLEMENTO!Area_de_impressao</vt:lpstr>
      <vt:lpstr>'MEMORIA ALA B E C'!Area_de_impressao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 Faria</dc:creator>
  <cp:lastModifiedBy>Marcos Roberto</cp:lastModifiedBy>
  <cp:lastPrinted>2024-02-23T14:10:09Z</cp:lastPrinted>
  <dcterms:created xsi:type="dcterms:W3CDTF">2024-01-18T12:24:18Z</dcterms:created>
  <dcterms:modified xsi:type="dcterms:W3CDTF">2024-08-21T19:55:53Z</dcterms:modified>
</cp:coreProperties>
</file>